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definedNames/>
  <calcPr fullCalcOnLoad="1"/>
</workbook>
</file>

<file path=xl/sharedStrings.xml><?xml version="1.0" encoding="utf-8"?>
<sst xmlns="http://schemas.openxmlformats.org/spreadsheetml/2006/main" count="157" uniqueCount="71">
  <si>
    <t>x</t>
  </si>
  <si>
    <t>Dx</t>
  </si>
  <si>
    <t>Nx</t>
  </si>
  <si>
    <t>Mx</t>
  </si>
  <si>
    <t>n</t>
  </si>
  <si>
    <t>C</t>
  </si>
  <si>
    <t>a</t>
  </si>
  <si>
    <t>b</t>
  </si>
  <si>
    <t>c</t>
  </si>
  <si>
    <t>U</t>
  </si>
  <si>
    <t>P</t>
  </si>
  <si>
    <t>Pt</t>
  </si>
  <si>
    <t>V10</t>
  </si>
  <si>
    <t>V25</t>
  </si>
  <si>
    <t>D</t>
  </si>
  <si>
    <t>N</t>
  </si>
  <si>
    <t>i</t>
  </si>
  <si>
    <t>30a34</t>
  </si>
  <si>
    <t>R</t>
  </si>
  <si>
    <t>Verifica premio</t>
  </si>
  <si>
    <t>Verifica rata</t>
  </si>
  <si>
    <t>Ai10</t>
  </si>
  <si>
    <t>Ai0</t>
  </si>
  <si>
    <t>Ac10</t>
  </si>
  <si>
    <t>Ac0</t>
  </si>
  <si>
    <t>V0</t>
  </si>
  <si>
    <t>V40</t>
  </si>
  <si>
    <t>25a36</t>
  </si>
  <si>
    <t>Ai30</t>
  </si>
  <si>
    <t>V30</t>
  </si>
  <si>
    <t>M</t>
  </si>
  <si>
    <t>Verifica</t>
  </si>
  <si>
    <t>Ai15</t>
  </si>
  <si>
    <t>Ac15</t>
  </si>
  <si>
    <t>V15</t>
  </si>
  <si>
    <t>Esercizio 2</t>
  </si>
  <si>
    <t>Ri</t>
  </si>
  <si>
    <t>V0i</t>
  </si>
  <si>
    <t>Ra1</t>
  </si>
  <si>
    <t>Ra2</t>
  </si>
  <si>
    <t>Ra3</t>
  </si>
  <si>
    <t>Ra4</t>
  </si>
  <si>
    <t>Prestito</t>
  </si>
  <si>
    <t>A</t>
  </si>
  <si>
    <t>Ut</t>
  </si>
  <si>
    <t>V7</t>
  </si>
  <si>
    <t>10V40</t>
  </si>
  <si>
    <t>P'</t>
  </si>
  <si>
    <t>R'</t>
  </si>
  <si>
    <t>R''</t>
  </si>
  <si>
    <t>P''</t>
  </si>
  <si>
    <t>V48</t>
  </si>
  <si>
    <t>C'</t>
  </si>
  <si>
    <t>C''</t>
  </si>
  <si>
    <t>U''</t>
  </si>
  <si>
    <t>età</t>
  </si>
  <si>
    <t>dx</t>
  </si>
  <si>
    <t>lx</t>
  </si>
  <si>
    <t>D(X)</t>
  </si>
  <si>
    <t>N(X)</t>
  </si>
  <si>
    <t>C(X)</t>
  </si>
  <si>
    <t>M(X)</t>
  </si>
  <si>
    <t>alfa</t>
  </si>
  <si>
    <t>beta</t>
  </si>
  <si>
    <t>gamma</t>
  </si>
  <si>
    <t>V8</t>
  </si>
  <si>
    <t>X</t>
  </si>
  <si>
    <t>R(X)</t>
  </si>
  <si>
    <t>U2</t>
  </si>
  <si>
    <t>Ac40</t>
  </si>
  <si>
    <t>Ai40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</si>
</sst>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0.00000000"/>
    <numFmt numFmtId="172" formatCode="_-* #,##0.00_-;\-* #,##0.00_-;_-* &quot;-&quot;????????_-;_-@_-"/>
    <numFmt numFmtId="173" formatCode="_-* #,##0.00000000_-;\-* #,##0.00000000_-;_-* &quot;-&quot;????????_-;_-@_-"/>
  </numFmts>
  <fonts count="6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u val="singleAccounting"/>
      <sz val="10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6" applyAlignment="1">
      <alignment/>
    </xf>
    <xf numFmtId="9" fontId="0" fillId="0" borderId="0" xfId="0" applyNumberFormat="1" applyAlignment="1">
      <alignment/>
    </xf>
    <xf numFmtId="170" fontId="0" fillId="0" borderId="0" xfId="16" applyNumberFormat="1" applyAlignment="1">
      <alignment/>
    </xf>
    <xf numFmtId="0" fontId="1" fillId="0" borderId="0" xfId="0" applyFont="1" applyAlignment="1">
      <alignment/>
    </xf>
    <xf numFmtId="170" fontId="1" fillId="0" borderId="0" xfId="16" applyNumberFormat="1" applyFont="1" applyAlignment="1">
      <alignment/>
    </xf>
    <xf numFmtId="41" fontId="1" fillId="0" borderId="0" xfId="16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16" applyFont="1" applyAlignment="1">
      <alignment/>
    </xf>
    <xf numFmtId="41" fontId="0" fillId="0" borderId="0" xfId="0" applyNumberFormat="1" applyAlignment="1">
      <alignment/>
    </xf>
    <xf numFmtId="41" fontId="3" fillId="0" borderId="0" xfId="16" applyFont="1" applyAlignment="1">
      <alignment/>
    </xf>
    <xf numFmtId="41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0" fontId="0" fillId="0" borderId="0" xfId="16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4" fillId="2" borderId="1" xfId="17" applyFont="1" applyFill="1" applyBorder="1" applyAlignment="1">
      <alignment horizontal="center"/>
      <protection/>
    </xf>
    <xf numFmtId="0" fontId="4" fillId="3" borderId="2" xfId="17" applyFont="1" applyFill="1" applyBorder="1" applyAlignment="1">
      <alignment horizontal="center"/>
      <protection/>
    </xf>
    <xf numFmtId="0" fontId="4" fillId="3" borderId="1" xfId="17" applyFont="1" applyFill="1" applyBorder="1" applyAlignment="1" applyProtection="1">
      <alignment horizontal="center"/>
      <protection locked="0"/>
    </xf>
    <xf numFmtId="0" fontId="4" fillId="3" borderId="1" xfId="17" applyFont="1" applyFill="1" applyBorder="1" applyAlignment="1" applyProtection="1">
      <alignment horizontal="center"/>
      <protection locked="0"/>
    </xf>
    <xf numFmtId="0" fontId="5" fillId="2" borderId="3" xfId="17" applyFill="1" applyBorder="1" applyAlignment="1" applyProtection="1">
      <alignment horizontal="center"/>
      <protection locked="0"/>
    </xf>
    <xf numFmtId="0" fontId="5" fillId="0" borderId="3" xfId="17" applyFill="1" applyBorder="1" applyProtection="1" quotePrefix="1">
      <alignment/>
      <protection locked="0"/>
    </xf>
    <xf numFmtId="0" fontId="5" fillId="0" borderId="3" xfId="17" applyFill="1" applyBorder="1" applyProtection="1">
      <alignment/>
      <protection locked="0"/>
    </xf>
    <xf numFmtId="0" fontId="5" fillId="0" borderId="0" xfId="17" applyFill="1" applyBorder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2" fontId="0" fillId="0" borderId="4" xfId="0" applyNumberForma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2" fontId="0" fillId="0" borderId="3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2" fontId="0" fillId="0" borderId="5" xfId="0" applyNumberForma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0" bestFit="1" customWidth="1"/>
    <col min="2" max="2" width="12.00390625" style="0" bestFit="1" customWidth="1"/>
  </cols>
  <sheetData>
    <row r="1" spans="1:7" ht="12.75">
      <c r="A1" t="s">
        <v>0</v>
      </c>
      <c r="B1">
        <v>38</v>
      </c>
      <c r="D1" t="s">
        <v>0</v>
      </c>
      <c r="E1" t="s">
        <v>1</v>
      </c>
      <c r="F1" t="s">
        <v>2</v>
      </c>
      <c r="G1" t="s">
        <v>3</v>
      </c>
    </row>
    <row r="2" spans="1:7" ht="12.75">
      <c r="A2" t="s">
        <v>4</v>
      </c>
      <c r="B2">
        <v>25</v>
      </c>
      <c r="D2">
        <v>38</v>
      </c>
      <c r="E2">
        <v>31080</v>
      </c>
      <c r="F2">
        <v>676182</v>
      </c>
      <c r="G2">
        <v>11386</v>
      </c>
    </row>
    <row r="3" spans="1:7" ht="12.75">
      <c r="A3" t="s">
        <v>5</v>
      </c>
      <c r="B3" s="1">
        <v>150000</v>
      </c>
      <c r="D3">
        <v>48</v>
      </c>
      <c r="E3">
        <v>22466</v>
      </c>
      <c r="F3">
        <v>405740</v>
      </c>
      <c r="G3">
        <v>10649</v>
      </c>
    </row>
    <row r="4" spans="1:7" ht="12.75">
      <c r="A4" t="s">
        <v>6</v>
      </c>
      <c r="B4" s="2">
        <v>0.4</v>
      </c>
      <c r="D4">
        <v>63</v>
      </c>
      <c r="E4">
        <v>12074</v>
      </c>
      <c r="F4">
        <v>144256</v>
      </c>
      <c r="G4">
        <v>7872</v>
      </c>
    </row>
    <row r="5" spans="1:2" ht="12.75">
      <c r="A5" t="s">
        <v>7</v>
      </c>
      <c r="B5" s="2">
        <v>0.07</v>
      </c>
    </row>
    <row r="6" spans="1:2" ht="12.75">
      <c r="A6" t="s">
        <v>8</v>
      </c>
      <c r="B6" s="2">
        <v>0.03</v>
      </c>
    </row>
    <row r="8" spans="1:2" ht="12.75">
      <c r="A8" t="s">
        <v>9</v>
      </c>
      <c r="B8" s="3">
        <f>(E4+G2)/E2*B3</f>
        <v>113223.93822393822</v>
      </c>
    </row>
    <row r="9" spans="1:2" ht="12.75">
      <c r="A9" s="4" t="s">
        <v>10</v>
      </c>
      <c r="B9" s="5">
        <f>B8/((F2-F4)/E2)</f>
        <v>6615.581866650625</v>
      </c>
    </row>
    <row r="10" spans="1:2" ht="12.75">
      <c r="A10" s="4" t="s">
        <v>11</v>
      </c>
      <c r="B10" s="5">
        <f>B9/(1-B4/((F2-F4)/E2)-B5-B6)</f>
        <v>7546.621133884651</v>
      </c>
    </row>
    <row r="11" spans="1:2" ht="12.75">
      <c r="A11" s="4" t="s">
        <v>12</v>
      </c>
      <c r="B11" s="5">
        <f>B3*((E4+G3)/E3)-B9*((F3-F4)/E3)</f>
        <v>74716.51345057986</v>
      </c>
    </row>
    <row r="12" spans="1:2" ht="12.75">
      <c r="A12" s="4" t="s">
        <v>13</v>
      </c>
      <c r="B12" s="5">
        <f>B3*(1+G4/E4)</f>
        <v>247796.91899950305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12" sqref="G12"/>
    </sheetView>
  </sheetViews>
  <sheetFormatPr defaultColWidth="9.140625" defaultRowHeight="12.75"/>
  <cols>
    <col min="2" max="2" width="9.57421875" style="0" bestFit="1" customWidth="1"/>
    <col min="6" max="6" width="9.57421875" style="0" bestFit="1" customWidth="1"/>
    <col min="9" max="9" width="9.57421875" style="0" bestFit="1" customWidth="1"/>
  </cols>
  <sheetData>
    <row r="1" spans="1:2" ht="12.75">
      <c r="A1" t="s">
        <v>0</v>
      </c>
      <c r="B1">
        <v>35</v>
      </c>
    </row>
    <row r="2" spans="1:9" ht="12.75">
      <c r="A2" t="s">
        <v>4</v>
      </c>
      <c r="B2">
        <v>30</v>
      </c>
      <c r="D2" t="s">
        <v>66</v>
      </c>
      <c r="E2" s="32" t="s">
        <v>58</v>
      </c>
      <c r="F2" s="32" t="s">
        <v>59</v>
      </c>
      <c r="G2" s="32" t="s">
        <v>60</v>
      </c>
      <c r="H2" s="32" t="s">
        <v>61</v>
      </c>
      <c r="I2" s="32" t="s">
        <v>67</v>
      </c>
    </row>
    <row r="3" spans="1:9" ht="12.75">
      <c r="A3" t="s">
        <v>10</v>
      </c>
      <c r="B3" s="1">
        <v>3000</v>
      </c>
      <c r="D3" s="33">
        <v>35</v>
      </c>
      <c r="E3" s="34">
        <v>24423.92965322553</v>
      </c>
      <c r="F3" s="34">
        <v>493111.6062012507</v>
      </c>
      <c r="G3" s="34">
        <v>35.33196466870877</v>
      </c>
      <c r="H3" s="34">
        <v>5458.098645485098</v>
      </c>
      <c r="I3" s="34">
        <v>189494.83423116838</v>
      </c>
    </row>
    <row r="4" spans="1:9" ht="12.75">
      <c r="A4" t="s">
        <v>9</v>
      </c>
      <c r="B4" s="1">
        <f>B3*((F3-F7)/E3)</f>
        <v>52039.352368607135</v>
      </c>
      <c r="D4" s="35">
        <v>36</v>
      </c>
      <c r="E4" s="36">
        <v>23449.21577881738</v>
      </c>
      <c r="F4" s="36">
        <v>468687.6765480251</v>
      </c>
      <c r="G4" s="36">
        <v>33.73874610274577</v>
      </c>
      <c r="H4" s="36">
        <v>5422.766680816389</v>
      </c>
      <c r="I4" s="36">
        <v>184036.7355856833</v>
      </c>
    </row>
    <row r="5" spans="1:9" ht="12.75">
      <c r="A5" s="4" t="s">
        <v>5</v>
      </c>
      <c r="B5" s="6">
        <f>B4*E3/(E7+H3-H7)</f>
        <v>156354.708186977</v>
      </c>
      <c r="D5" s="35">
        <v>45</v>
      </c>
      <c r="E5" s="36">
        <v>16201.875300611133</v>
      </c>
      <c r="F5" s="36">
        <v>288474.2264540471</v>
      </c>
      <c r="G5" s="36">
        <v>41.976533674632236</v>
      </c>
      <c r="H5" s="36">
        <v>5106.712744686236</v>
      </c>
      <c r="I5" s="36">
        <v>136447.3116176131</v>
      </c>
    </row>
    <row r="6" spans="1:9" ht="12.75">
      <c r="A6" s="4" t="s">
        <v>5</v>
      </c>
      <c r="B6" s="6">
        <f>B3*(F3-F7)/(E7+H3-H7)</f>
        <v>156354.70818697702</v>
      </c>
      <c r="D6" s="35">
        <v>46</v>
      </c>
      <c r="E6" s="36">
        <v>15536.749716912998</v>
      </c>
      <c r="F6" s="36">
        <v>272272.3511534359</v>
      </c>
      <c r="G6" s="36">
        <v>45.110528270249574</v>
      </c>
      <c r="H6" s="36">
        <v>5064.736211011604</v>
      </c>
      <c r="I6" s="36">
        <v>131340.59887292684</v>
      </c>
    </row>
    <row r="7" spans="4:9" ht="12.75">
      <c r="D7" s="35">
        <v>65</v>
      </c>
      <c r="E7" s="36">
        <v>6187.251994052679</v>
      </c>
      <c r="F7" s="36">
        <v>69443.112384492</v>
      </c>
      <c r="G7" s="36">
        <v>131.09768948122561</v>
      </c>
      <c r="H7" s="36">
        <v>3516.363056187602</v>
      </c>
      <c r="I7" s="36">
        <v>46424.79137333503</v>
      </c>
    </row>
    <row r="8" spans="1:9" ht="12.75">
      <c r="A8" t="s">
        <v>68</v>
      </c>
      <c r="B8" s="10">
        <f>B6*0.75</f>
        <v>117266.03114023276</v>
      </c>
      <c r="D8" s="35">
        <v>66</v>
      </c>
      <c r="E8" s="36">
        <v>5818.183074030966</v>
      </c>
      <c r="F8" s="36">
        <v>63255.86039043927</v>
      </c>
      <c r="G8" s="36">
        <v>135.37418453152787</v>
      </c>
      <c r="H8" s="36">
        <v>3385.2653667063764</v>
      </c>
      <c r="I8" s="36">
        <v>42908.42831714744</v>
      </c>
    </row>
    <row r="9" spans="1:9" ht="16.5">
      <c r="A9" s="11" t="s">
        <v>18</v>
      </c>
      <c r="B9" s="11">
        <f>B8*(E7/F8)</f>
        <v>11470.154394053769</v>
      </c>
      <c r="D9" s="35">
        <v>75</v>
      </c>
      <c r="E9" s="36">
        <v>2970.981441395394</v>
      </c>
      <c r="F9" s="36">
        <v>22915.804558170334</v>
      </c>
      <c r="G9" s="36">
        <v>150.33194190612292</v>
      </c>
      <c r="H9" s="36">
        <v>2089.604343004227</v>
      </c>
      <c r="I9" s="36">
        <v>17516.25947875259</v>
      </c>
    </row>
    <row r="10" spans="4:9" ht="12.75">
      <c r="D10" s="37">
        <v>76</v>
      </c>
      <c r="E10" s="38">
        <v>2706.380982512525</v>
      </c>
      <c r="F10" s="38">
        <v>19944.823116774944</v>
      </c>
      <c r="G10" s="38">
        <v>151.33334800124888</v>
      </c>
      <c r="H10" s="38">
        <v>1939.2724010981035</v>
      </c>
      <c r="I10" s="38">
        <v>15426.655135748364</v>
      </c>
    </row>
    <row r="11" spans="1:2" ht="12.75">
      <c r="A11" t="s">
        <v>23</v>
      </c>
      <c r="B11" s="1">
        <f>B3*((F5-F7)/E5)</f>
        <v>40556.62261416614</v>
      </c>
    </row>
    <row r="12" spans="1:2" ht="12.75">
      <c r="A12" t="s">
        <v>21</v>
      </c>
      <c r="B12" s="1">
        <f>B5*((E7+H5-H7)/E5)</f>
        <v>75057.03006021668</v>
      </c>
    </row>
    <row r="13" spans="1:2" ht="16.5">
      <c r="A13" t="s">
        <v>12</v>
      </c>
      <c r="B13" s="12">
        <f>B12-B11</f>
        <v>34500.40744605054</v>
      </c>
    </row>
    <row r="14" spans="1:2" ht="12.75">
      <c r="A14" t="s">
        <v>69</v>
      </c>
      <c r="B14">
        <v>0</v>
      </c>
    </row>
    <row r="15" spans="1:2" ht="12.75">
      <c r="A15" t="s">
        <v>70</v>
      </c>
      <c r="B15" s="1">
        <f>B9*(F10/E9)</f>
        <v>77001.55824738299</v>
      </c>
    </row>
    <row r="16" spans="1:2" ht="12.75">
      <c r="A16" s="4" t="s">
        <v>26</v>
      </c>
      <c r="B16" s="7">
        <f>B15-B14</f>
        <v>77001.55824738299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2" max="2" width="13.140625" style="0" bestFit="1" customWidth="1"/>
    <col min="4" max="4" width="10.421875" style="0" bestFit="1" customWidth="1"/>
    <col min="7" max="7" width="11.421875" style="0" bestFit="1" customWidth="1"/>
  </cols>
  <sheetData>
    <row r="1" spans="1:2" ht="12.75">
      <c r="A1" t="s">
        <v>0</v>
      </c>
      <c r="B1">
        <v>34</v>
      </c>
    </row>
    <row r="2" spans="1:6" ht="12.75">
      <c r="A2" t="s">
        <v>4</v>
      </c>
      <c r="B2">
        <v>30</v>
      </c>
      <c r="E2" t="s">
        <v>14</v>
      </c>
      <c r="F2" t="s">
        <v>15</v>
      </c>
    </row>
    <row r="3" spans="1:6" ht="12.75">
      <c r="A3" t="s">
        <v>16</v>
      </c>
      <c r="B3">
        <v>0.04</v>
      </c>
      <c r="D3">
        <v>34</v>
      </c>
      <c r="E3">
        <v>25742</v>
      </c>
      <c r="F3">
        <v>545255</v>
      </c>
    </row>
    <row r="4" spans="1:6" ht="12.75">
      <c r="A4" t="s">
        <v>11</v>
      </c>
      <c r="B4" s="1">
        <v>6000000</v>
      </c>
      <c r="D4">
        <v>44</v>
      </c>
      <c r="E4">
        <v>17213</v>
      </c>
      <c r="F4">
        <v>328884</v>
      </c>
    </row>
    <row r="5" spans="1:6" ht="12.75">
      <c r="A5" t="s">
        <v>6</v>
      </c>
      <c r="B5">
        <v>0.4</v>
      </c>
      <c r="D5">
        <v>64</v>
      </c>
      <c r="E5">
        <v>7149</v>
      </c>
      <c r="F5">
        <v>91652</v>
      </c>
    </row>
    <row r="6" spans="1:6" ht="12.75">
      <c r="A6" t="s">
        <v>7</v>
      </c>
      <c r="B6">
        <v>0.06</v>
      </c>
      <c r="D6">
        <v>65</v>
      </c>
      <c r="E6">
        <v>6798</v>
      </c>
      <c r="F6">
        <v>84504</v>
      </c>
    </row>
    <row r="7" spans="1:6" ht="12.75">
      <c r="A7" t="s">
        <v>8</v>
      </c>
      <c r="B7">
        <v>0.03</v>
      </c>
      <c r="D7">
        <v>74</v>
      </c>
      <c r="E7">
        <v>3987</v>
      </c>
      <c r="F7">
        <v>34929</v>
      </c>
    </row>
    <row r="8" spans="1:2" ht="12.75">
      <c r="A8" t="s">
        <v>17</v>
      </c>
      <c r="B8">
        <f>(F3-F5)/E3</f>
        <v>17.621125009711754</v>
      </c>
    </row>
    <row r="9" spans="1:2" ht="12.75">
      <c r="A9" s="4" t="s">
        <v>10</v>
      </c>
      <c r="B9" s="6">
        <f>B4*(1-B5/B8-B6-B7)</f>
        <v>5323799.842593634</v>
      </c>
    </row>
    <row r="10" spans="1:6" ht="12.75">
      <c r="A10" s="4" t="s">
        <v>18</v>
      </c>
      <c r="B10" s="6">
        <f>B9*((F3-F5)/F6)</f>
        <v>28577245.81084919</v>
      </c>
      <c r="D10" t="s">
        <v>19</v>
      </c>
      <c r="F10" t="s">
        <v>20</v>
      </c>
    </row>
    <row r="11" spans="1:7" ht="12.75">
      <c r="A11" t="s">
        <v>21</v>
      </c>
      <c r="B11" s="1">
        <f>B10*(F6/E4)</f>
        <v>140294636.6118631</v>
      </c>
      <c r="D11" s="1">
        <f>B9/(1-B5/((F3-F5)/E3)-B6-B7)</f>
        <v>6000000</v>
      </c>
      <c r="F11" t="s">
        <v>22</v>
      </c>
      <c r="G11" s="1">
        <f>B10*(F6/E3)</f>
        <v>93811342.55302618</v>
      </c>
    </row>
    <row r="12" spans="1:7" ht="12.75">
      <c r="A12" t="s">
        <v>23</v>
      </c>
      <c r="B12" s="1">
        <f>B9*((F4-F5)/E4)</f>
        <v>73373362.24122308</v>
      </c>
      <c r="F12" t="s">
        <v>24</v>
      </c>
      <c r="G12" s="1">
        <f>B9*((F3-F5)/E3)</f>
        <v>93811342.55302617</v>
      </c>
    </row>
    <row r="13" spans="1:7" ht="12.75">
      <c r="A13" s="4" t="s">
        <v>12</v>
      </c>
      <c r="B13" s="7">
        <f>B11-B12</f>
        <v>66921274.370640025</v>
      </c>
      <c r="F13" s="4" t="s">
        <v>25</v>
      </c>
      <c r="G13">
        <f>G11-G12</f>
        <v>0</v>
      </c>
    </row>
    <row r="14" spans="1:2" ht="12.75">
      <c r="A14" t="s">
        <v>21</v>
      </c>
      <c r="B14" s="1">
        <f>B10*(F7/E7)</f>
        <v>250357316.00881648</v>
      </c>
    </row>
    <row r="15" spans="1:2" ht="12.75">
      <c r="A15" s="4" t="s">
        <v>26</v>
      </c>
      <c r="B15" s="7">
        <f>B14</f>
        <v>250357316.00881648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" sqref="B1"/>
    </sheetView>
  </sheetViews>
  <sheetFormatPr defaultColWidth="9.140625" defaultRowHeight="12.75"/>
  <cols>
    <col min="2" max="2" width="13.140625" style="0" bestFit="1" customWidth="1"/>
    <col min="4" max="4" width="10.421875" style="0" bestFit="1" customWidth="1"/>
    <col min="7" max="7" width="12.421875" style="0" bestFit="1" customWidth="1"/>
  </cols>
  <sheetData>
    <row r="1" spans="1:2" ht="12.75">
      <c r="A1" t="s">
        <v>0</v>
      </c>
      <c r="B1">
        <v>36</v>
      </c>
    </row>
    <row r="2" spans="1:6" ht="12.75">
      <c r="A2" t="s">
        <v>4</v>
      </c>
      <c r="B2">
        <v>25</v>
      </c>
      <c r="E2" t="s">
        <v>14</v>
      </c>
      <c r="F2" t="s">
        <v>15</v>
      </c>
    </row>
    <row r="3" spans="1:6" ht="12.75">
      <c r="A3" t="s">
        <v>16</v>
      </c>
      <c r="B3">
        <v>0.04</v>
      </c>
      <c r="D3">
        <v>36</v>
      </c>
      <c r="E3">
        <v>23352</v>
      </c>
      <c r="F3">
        <v>453459</v>
      </c>
    </row>
    <row r="4" spans="1:6" ht="12.75">
      <c r="A4" t="s">
        <v>11</v>
      </c>
      <c r="B4" s="1">
        <v>7500000</v>
      </c>
      <c r="D4">
        <v>46</v>
      </c>
      <c r="E4">
        <v>15418</v>
      </c>
      <c r="F4">
        <v>257969</v>
      </c>
    </row>
    <row r="5" spans="1:6" ht="12.75">
      <c r="A5" t="s">
        <v>6</v>
      </c>
      <c r="B5">
        <v>0.45</v>
      </c>
      <c r="D5">
        <v>61</v>
      </c>
      <c r="E5">
        <v>7395</v>
      </c>
      <c r="F5">
        <v>87216</v>
      </c>
    </row>
    <row r="6" spans="1:6" ht="12.75">
      <c r="A6" t="s">
        <v>7</v>
      </c>
      <c r="B6">
        <v>0.06</v>
      </c>
      <c r="D6">
        <v>62</v>
      </c>
      <c r="E6">
        <v>6975</v>
      </c>
      <c r="F6">
        <v>72849</v>
      </c>
    </row>
    <row r="7" spans="1:6" ht="12.75">
      <c r="A7" t="s">
        <v>8</v>
      </c>
      <c r="B7">
        <v>0.04</v>
      </c>
      <c r="D7">
        <v>66</v>
      </c>
      <c r="E7">
        <v>5426</v>
      </c>
      <c r="F7">
        <v>54306</v>
      </c>
    </row>
    <row r="8" spans="1:2" ht="12.75">
      <c r="A8" t="s">
        <v>27</v>
      </c>
      <c r="B8">
        <f>(F3-F5)/E3</f>
        <v>15.68358170606372</v>
      </c>
    </row>
    <row r="9" spans="1:2" ht="12.75">
      <c r="A9" s="4" t="s">
        <v>10</v>
      </c>
      <c r="B9" s="6">
        <f>B4*(1-B5/B8-B6-B7)</f>
        <v>6534806.808594293</v>
      </c>
    </row>
    <row r="10" spans="1:6" ht="12.75">
      <c r="A10" s="4" t="s">
        <v>18</v>
      </c>
      <c r="B10" s="6">
        <f>B9*((F3-F5)/F6)</f>
        <v>32853261.540995754</v>
      </c>
      <c r="D10" t="s">
        <v>19</v>
      </c>
      <c r="F10" t="s">
        <v>20</v>
      </c>
    </row>
    <row r="11" spans="1:7" ht="12.75">
      <c r="A11" t="s">
        <v>21</v>
      </c>
      <c r="B11" s="1">
        <f>B10*(F6/E4)</f>
        <v>155229423.4012193</v>
      </c>
      <c r="D11" s="1">
        <f>B9/(1-B5/((F3-F5)/E3)-B6-B7)</f>
        <v>7499999.999999999</v>
      </c>
      <c r="F11" t="s">
        <v>22</v>
      </c>
      <c r="G11" s="1">
        <f>B10*(F6/E3)</f>
        <v>102489176.5159301</v>
      </c>
    </row>
    <row r="12" spans="1:7" ht="12.75">
      <c r="A12" t="s">
        <v>23</v>
      </c>
      <c r="B12" s="1">
        <f>B9*((F4-F5)/E4)</f>
        <v>72372413.21753155</v>
      </c>
      <c r="F12" t="s">
        <v>24</v>
      </c>
      <c r="G12" s="1">
        <f>B9*((F3-F5)/E3)</f>
        <v>102489176.51593009</v>
      </c>
    </row>
    <row r="13" spans="1:7" ht="12.75">
      <c r="A13" s="4" t="s">
        <v>12</v>
      </c>
      <c r="B13" s="7">
        <f>B11-B12</f>
        <v>82857010.18368776</v>
      </c>
      <c r="F13" s="4" t="s">
        <v>25</v>
      </c>
      <c r="G13">
        <f>G11-G12</f>
        <v>0</v>
      </c>
    </row>
    <row r="14" spans="1:2" ht="12.75">
      <c r="A14" t="s">
        <v>28</v>
      </c>
      <c r="B14" s="1">
        <f>B10*(F7/E7)</f>
        <v>328811135.5041127</v>
      </c>
    </row>
    <row r="15" spans="1:2" ht="12.75">
      <c r="A15" s="4" t="s">
        <v>29</v>
      </c>
      <c r="B15" s="7">
        <f>B14</f>
        <v>328811135.5041127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IV16384"/>
    </sheetView>
  </sheetViews>
  <sheetFormatPr defaultColWidth="9.140625" defaultRowHeight="12.75"/>
  <cols>
    <col min="1" max="1" width="5.28125" style="0" bestFit="1" customWidth="1"/>
    <col min="4" max="4" width="3.00390625" style="0" bestFit="1" customWidth="1"/>
    <col min="5" max="5" width="6.00390625" style="0" bestFit="1" customWidth="1"/>
    <col min="6" max="6" width="7.00390625" style="0" bestFit="1" customWidth="1"/>
    <col min="7" max="7" width="5.00390625" style="0" bestFit="1" customWidth="1"/>
  </cols>
  <sheetData>
    <row r="1" spans="1:2" ht="12.75">
      <c r="A1" t="s">
        <v>0</v>
      </c>
      <c r="B1">
        <v>31</v>
      </c>
    </row>
    <row r="2" spans="1:7" ht="12.75">
      <c r="A2" t="s">
        <v>4</v>
      </c>
      <c r="B2">
        <v>30</v>
      </c>
      <c r="E2" t="s">
        <v>14</v>
      </c>
      <c r="F2" t="s">
        <v>15</v>
      </c>
      <c r="G2" t="s">
        <v>30</v>
      </c>
    </row>
    <row r="3" spans="1:7" ht="12.75">
      <c r="A3" t="s">
        <v>16</v>
      </c>
      <c r="B3">
        <v>0.04</v>
      </c>
      <c r="D3">
        <v>31</v>
      </c>
      <c r="E3">
        <v>28571</v>
      </c>
      <c r="F3">
        <v>585467</v>
      </c>
      <c r="G3">
        <v>6053</v>
      </c>
    </row>
    <row r="4" spans="1:7" ht="12.75">
      <c r="A4" t="s">
        <v>5</v>
      </c>
      <c r="B4" s="1">
        <v>250000</v>
      </c>
      <c r="D4">
        <v>46</v>
      </c>
      <c r="E4">
        <v>15418</v>
      </c>
      <c r="F4">
        <v>257969</v>
      </c>
      <c r="G4">
        <v>5496</v>
      </c>
    </row>
    <row r="5" spans="1:7" ht="12.75">
      <c r="A5" t="s">
        <v>6</v>
      </c>
      <c r="B5" s="2">
        <v>0.4</v>
      </c>
      <c r="D5">
        <v>61</v>
      </c>
      <c r="E5">
        <v>7395</v>
      </c>
      <c r="F5">
        <v>87216</v>
      </c>
      <c r="G5">
        <v>4040</v>
      </c>
    </row>
    <row r="6" spans="1:6" ht="12.75">
      <c r="A6" t="s">
        <v>7</v>
      </c>
      <c r="B6" s="2">
        <v>0.06</v>
      </c>
      <c r="D6">
        <v>62</v>
      </c>
      <c r="F6">
        <v>79824</v>
      </c>
    </row>
    <row r="7" spans="1:2" ht="12.75">
      <c r="A7" t="s">
        <v>8</v>
      </c>
      <c r="B7" s="2">
        <v>0.04</v>
      </c>
    </row>
    <row r="9" spans="1:2" ht="12.75">
      <c r="A9" s="4" t="s">
        <v>10</v>
      </c>
      <c r="B9" s="6">
        <f>B4*((E5+G3-G5)/(F3-F5))</f>
        <v>4720.512352208024</v>
      </c>
    </row>
    <row r="10" spans="1:3" ht="12.75">
      <c r="A10" s="4" t="s">
        <v>11</v>
      </c>
      <c r="B10" s="6">
        <f>B9/(1-(B5/((F3-F5)/E3))-B6-B7)</f>
        <v>5382.181820262131</v>
      </c>
      <c r="C10" s="8" t="s">
        <v>31</v>
      </c>
    </row>
    <row r="11" spans="1:7" ht="12.75">
      <c r="A11" t="s">
        <v>32</v>
      </c>
      <c r="B11" s="9">
        <f>B4*((E5+G4-G5)/E4)</f>
        <v>143517.317421196</v>
      </c>
      <c r="C11" s="8">
        <f>B4*((E5+G3-G5)/E3)</f>
        <v>82321.23481852228</v>
      </c>
      <c r="D11" s="1"/>
      <c r="G11" s="1"/>
    </row>
    <row r="12" spans="1:7" ht="12.75">
      <c r="A12" t="s">
        <v>33</v>
      </c>
      <c r="B12" s="1">
        <f>B9*((F4-F5)/E4)</f>
        <v>52279.2609726668</v>
      </c>
      <c r="C12" s="8">
        <f>B9*((F3-F5)/E3)</f>
        <v>82321.2348185223</v>
      </c>
      <c r="G12" s="1"/>
    </row>
    <row r="13" spans="1:6" ht="12.75">
      <c r="A13" s="4" t="s">
        <v>34</v>
      </c>
      <c r="B13" s="7">
        <f>B11-B12</f>
        <v>91238.0564485292</v>
      </c>
      <c r="F13" s="4"/>
    </row>
    <row r="14" spans="1:2" ht="12.75">
      <c r="A14" s="4" t="s">
        <v>18</v>
      </c>
      <c r="B14" s="7">
        <f>B4/(F6/E5)</f>
        <v>23160.32772098617</v>
      </c>
    </row>
    <row r="15" spans="1:2" ht="12.75">
      <c r="A15" s="4"/>
      <c r="B15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2" max="2" width="12.8515625" style="0" bestFit="1" customWidth="1"/>
  </cols>
  <sheetData>
    <row r="1" spans="1:6" ht="12.75">
      <c r="A1" t="s">
        <v>35</v>
      </c>
      <c r="E1" t="s">
        <v>14</v>
      </c>
      <c r="F1" t="s">
        <v>15</v>
      </c>
    </row>
    <row r="2" spans="1:6" ht="12.75">
      <c r="A2" t="s">
        <v>36</v>
      </c>
      <c r="B2" s="1">
        <v>25000000</v>
      </c>
      <c r="D2">
        <v>40</v>
      </c>
      <c r="E2" s="1">
        <v>29192</v>
      </c>
      <c r="F2" s="1">
        <v>614978</v>
      </c>
    </row>
    <row r="3" spans="1:6" ht="12.75">
      <c r="A3" t="s">
        <v>37</v>
      </c>
      <c r="B3" s="10">
        <f>F7/E2*B2</f>
        <v>226219512.19512194</v>
      </c>
      <c r="D3">
        <v>41</v>
      </c>
      <c r="E3" s="1">
        <v>28262</v>
      </c>
      <c r="F3" s="1">
        <v>585787</v>
      </c>
    </row>
    <row r="4" spans="1:6" ht="16.5">
      <c r="A4" t="s">
        <v>38</v>
      </c>
      <c r="B4" s="11">
        <f>B3/(1+2*(E3/E2)+4*(E4/E2)+8*(E5/E2))</f>
        <v>16204212.633975893</v>
      </c>
      <c r="D4">
        <v>42</v>
      </c>
      <c r="E4" s="1">
        <v>27395</v>
      </c>
      <c r="F4" s="1">
        <v>557505</v>
      </c>
    </row>
    <row r="5" spans="1:6" ht="16.5">
      <c r="A5" t="s">
        <v>39</v>
      </c>
      <c r="B5" s="12">
        <f>B4*2</f>
        <v>32408425.267951787</v>
      </c>
      <c r="D5">
        <v>43</v>
      </c>
      <c r="E5" s="1">
        <v>26530</v>
      </c>
      <c r="F5" s="1">
        <v>530109</v>
      </c>
    </row>
    <row r="6" spans="1:6" ht="16.5">
      <c r="A6" t="s">
        <v>40</v>
      </c>
      <c r="B6" s="12">
        <f>B5*2</f>
        <v>64816850.53590357</v>
      </c>
      <c r="D6">
        <v>50</v>
      </c>
      <c r="E6" s="1">
        <v>20945</v>
      </c>
      <c r="F6" s="1">
        <v>361575</v>
      </c>
    </row>
    <row r="7" spans="1:6" ht="16.5">
      <c r="A7" t="s">
        <v>41</v>
      </c>
      <c r="B7" s="12">
        <f>B6*2</f>
        <v>129633701.07180715</v>
      </c>
      <c r="D7">
        <v>55</v>
      </c>
      <c r="E7" s="1">
        <v>17343</v>
      </c>
      <c r="F7" s="1">
        <v>264152</v>
      </c>
    </row>
    <row r="9" ht="12.75">
      <c r="B9" s="10">
        <f>B4+B5*E3/E2+B6*E4/E2+B7*E5/E2</f>
        <v>226219512.19512194</v>
      </c>
    </row>
    <row r="11" spans="1:2" ht="12.75">
      <c r="A11" t="s">
        <v>12</v>
      </c>
      <c r="B11" s="10">
        <f>B2*F7/E6</f>
        <v>315292432.5614705</v>
      </c>
    </row>
    <row r="12" spans="1:2" ht="16.5">
      <c r="A12" t="s">
        <v>42</v>
      </c>
      <c r="B12" s="12">
        <f>B11*0.75</f>
        <v>236469324.42110288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2" ht="12.75">
      <c r="A1" t="s">
        <v>43</v>
      </c>
      <c r="B1" s="13">
        <v>300000</v>
      </c>
    </row>
    <row r="2" spans="1:7" ht="12.75">
      <c r="A2" t="s">
        <v>0</v>
      </c>
      <c r="B2">
        <v>45</v>
      </c>
      <c r="E2" t="s">
        <v>1</v>
      </c>
      <c r="F2" t="s">
        <v>2</v>
      </c>
      <c r="G2" t="s">
        <v>30</v>
      </c>
    </row>
    <row r="3" spans="4:7" ht="12.75">
      <c r="D3">
        <v>40</v>
      </c>
      <c r="E3">
        <v>29192</v>
      </c>
      <c r="F3">
        <v>614978</v>
      </c>
      <c r="G3">
        <v>11280</v>
      </c>
    </row>
    <row r="4" spans="1:7" ht="12.75">
      <c r="A4" s="4" t="s">
        <v>9</v>
      </c>
      <c r="B4" s="14">
        <f>G4/E4*B1</f>
        <v>131993.7243543326</v>
      </c>
      <c r="D4">
        <v>45</v>
      </c>
      <c r="E4">
        <v>24858</v>
      </c>
      <c r="F4">
        <v>477893</v>
      </c>
      <c r="G4">
        <v>10937</v>
      </c>
    </row>
    <row r="5" spans="1:7" ht="12.75">
      <c r="A5" s="4" t="s">
        <v>44</v>
      </c>
      <c r="B5" s="14">
        <f>(B4*(1.08)+0.015*B1)/(1-0.02)</f>
        <v>150054.30847212166</v>
      </c>
      <c r="D5">
        <v>52</v>
      </c>
      <c r="E5">
        <v>19475</v>
      </c>
      <c r="F5">
        <v>320426</v>
      </c>
      <c r="G5">
        <v>10142</v>
      </c>
    </row>
    <row r="7" spans="1:2" ht="12.75">
      <c r="A7" s="4" t="s">
        <v>45</v>
      </c>
      <c r="B7" s="14">
        <f>G5/E5*B1</f>
        <v>156231.06546854944</v>
      </c>
    </row>
    <row r="9" spans="1:2" ht="12.75">
      <c r="A9" s="4" t="s">
        <v>18</v>
      </c>
      <c r="B9" s="14">
        <f>B4/((F3-F4)/E3)</f>
        <v>28107.822163998084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15" bestFit="1" customWidth="1"/>
    <col min="2" max="2" width="23.57421875" style="15" bestFit="1" customWidth="1"/>
    <col min="3" max="3" width="15.7109375" style="15" bestFit="1" customWidth="1"/>
    <col min="4" max="16384" width="9.140625" style="15" customWidth="1"/>
  </cols>
  <sheetData>
    <row r="1" spans="2:3" ht="12.75">
      <c r="B1" s="15" t="s">
        <v>1</v>
      </c>
      <c r="C1" s="15" t="s">
        <v>2</v>
      </c>
    </row>
    <row r="2" spans="1:3" ht="12.75">
      <c r="A2" s="15">
        <v>30</v>
      </c>
      <c r="B2" s="16">
        <v>40015.86196502</v>
      </c>
      <c r="C2" s="16">
        <v>993349.71446415</v>
      </c>
    </row>
    <row r="3" spans="1:3" ht="12.75">
      <c r="A3" s="15">
        <v>40</v>
      </c>
      <c r="B3" s="16">
        <v>29316.33724004</v>
      </c>
      <c r="C3" s="16">
        <v>644069.27706333</v>
      </c>
    </row>
    <row r="4" spans="1:3" ht="12.75">
      <c r="A4" s="15">
        <v>65</v>
      </c>
      <c r="B4" s="16">
        <v>11594.31920655</v>
      </c>
      <c r="C4" s="16">
        <v>140334.7299913</v>
      </c>
    </row>
    <row r="5" spans="1:3" ht="12.75">
      <c r="A5" s="15">
        <v>66</v>
      </c>
      <c r="B5" s="16">
        <v>11008.57094906</v>
      </c>
      <c r="C5" s="16">
        <v>128740.41078475</v>
      </c>
    </row>
    <row r="7" spans="1:3" ht="12.75">
      <c r="A7" s="15" t="s">
        <v>10</v>
      </c>
      <c r="B7" s="17">
        <v>600</v>
      </c>
      <c r="C7" s="18"/>
    </row>
    <row r="8" spans="1:3" ht="12.75">
      <c r="A8" s="4" t="s">
        <v>18</v>
      </c>
      <c r="B8" s="5">
        <f>(B7*(C2-C4)/B2)/(C5/B2)</f>
        <v>3975.5115551047825</v>
      </c>
      <c r="C8" s="18"/>
    </row>
    <row r="9" spans="1:3" ht="12.75">
      <c r="A9" s="4" t="s">
        <v>46</v>
      </c>
      <c r="B9" s="5">
        <f>B8*(C5/B3)-B7*((C3-C4)/B3)</f>
        <v>7148.514520233633</v>
      </c>
      <c r="C9" s="19"/>
    </row>
    <row r="10" spans="1:2" ht="12.75">
      <c r="A10" s="15" t="s">
        <v>47</v>
      </c>
      <c r="B10" s="17">
        <v>1200</v>
      </c>
    </row>
    <row r="11" spans="1:2" ht="12.75">
      <c r="A11" s="4" t="s">
        <v>48</v>
      </c>
      <c r="B11" s="5">
        <f>(B9+B10*((C3-C4)/B3))/(C5/B3)</f>
        <v>6323.187210331292</v>
      </c>
    </row>
    <row r="12" ht="12.75">
      <c r="B12" s="20">
        <f>(B7*(C2-C3)/B3+B10*(C3-C4)/B3)/(C5/B3)</f>
        <v>6323.187210331293</v>
      </c>
    </row>
    <row r="13" ht="12.75">
      <c r="B13" s="20">
        <f>B8+((B10-B7)*(C3-C4)/B3)/(C5/B3)</f>
        <v>6323.187210331293</v>
      </c>
    </row>
    <row r="14" spans="1:2" ht="12.75">
      <c r="A14" s="15" t="s">
        <v>49</v>
      </c>
      <c r="B14" s="21">
        <f>B8*2</f>
        <v>7951.023110209565</v>
      </c>
    </row>
    <row r="15" spans="1:2" ht="12.75">
      <c r="A15" s="4" t="s">
        <v>50</v>
      </c>
      <c r="B15" s="5">
        <f>(B14*(C5/B3)-B9)/((C3-C4)/B3)</f>
        <v>1616.0291638892206</v>
      </c>
    </row>
    <row r="18" spans="1:3" ht="12.75">
      <c r="A18" s="4" t="s">
        <v>18</v>
      </c>
      <c r="B18" s="5">
        <v>3975.5115551047825</v>
      </c>
      <c r="C18" s="18"/>
    </row>
    <row r="19" spans="1:3" ht="12.75">
      <c r="A19" s="4" t="s">
        <v>46</v>
      </c>
      <c r="B19" s="5">
        <v>7148.514520233633</v>
      </c>
      <c r="C19" s="19"/>
    </row>
    <row r="20" spans="1:2" ht="12.75">
      <c r="A20" s="4" t="s">
        <v>48</v>
      </c>
      <c r="B20" s="5">
        <v>6323.187210331292</v>
      </c>
    </row>
    <row r="21" spans="1:2" ht="12.75">
      <c r="A21" s="15" t="s">
        <v>49</v>
      </c>
      <c r="B21" s="21">
        <v>7951.023110209565</v>
      </c>
    </row>
    <row r="22" spans="1:2" ht="12.75">
      <c r="A22" s="4" t="s">
        <v>50</v>
      </c>
      <c r="B22" s="5">
        <v>1616.0291638892206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7" sqref="A7"/>
    </sheetView>
  </sheetViews>
  <sheetFormatPr defaultColWidth="9.140625" defaultRowHeight="12.75"/>
  <cols>
    <col min="2" max="2" width="11.8515625" style="0" bestFit="1" customWidth="1"/>
  </cols>
  <sheetData>
    <row r="1" spans="1:2" ht="12.75">
      <c r="A1" t="s">
        <v>5</v>
      </c>
      <c r="B1" s="1">
        <v>500000</v>
      </c>
    </row>
    <row r="2" spans="1:6" ht="12.75">
      <c r="A2" t="s">
        <v>9</v>
      </c>
      <c r="B2" s="3">
        <f>B1*((E7+F3)/E3)</f>
        <v>283105.7739759829</v>
      </c>
      <c r="E2" t="s">
        <v>1</v>
      </c>
      <c r="F2" t="s">
        <v>3</v>
      </c>
    </row>
    <row r="3" spans="1:6" ht="12.75">
      <c r="A3" s="4" t="s">
        <v>10</v>
      </c>
      <c r="B3" s="5">
        <f>B2/(1+(E4/E3)+(E5/E3))</f>
        <v>114270.53765582724</v>
      </c>
      <c r="D3">
        <v>35</v>
      </c>
      <c r="E3">
        <v>24316</v>
      </c>
      <c r="F3">
        <v>5940</v>
      </c>
    </row>
    <row r="4" spans="2:6" ht="12.75">
      <c r="B4" s="22"/>
      <c r="D4">
        <v>40</v>
      </c>
      <c r="E4">
        <v>19834</v>
      </c>
      <c r="F4">
        <v>5777</v>
      </c>
    </row>
    <row r="5" spans="1:6" ht="12.75">
      <c r="A5" t="s">
        <v>51</v>
      </c>
      <c r="B5" s="3">
        <f>B1*((E7+F6)/E6)</f>
        <v>466982.8013305967</v>
      </c>
      <c r="D5">
        <v>45</v>
      </c>
      <c r="E5">
        <v>16093</v>
      </c>
      <c r="F5">
        <v>5552</v>
      </c>
    </row>
    <row r="6" spans="1:6" ht="12.75">
      <c r="A6" s="4" t="s">
        <v>52</v>
      </c>
      <c r="B6" s="5">
        <f>B5/((E8+F6)/E6)</f>
        <v>590953.8737124944</v>
      </c>
      <c r="D6">
        <v>48</v>
      </c>
      <c r="E6">
        <v>14129</v>
      </c>
      <c r="F6">
        <v>5368</v>
      </c>
    </row>
    <row r="7" spans="1:6" ht="12.75">
      <c r="A7" t="s">
        <v>53</v>
      </c>
      <c r="B7" s="1">
        <v>750000</v>
      </c>
      <c r="D7">
        <v>60</v>
      </c>
      <c r="E7">
        <v>7828</v>
      </c>
      <c r="F7">
        <v>4172</v>
      </c>
    </row>
    <row r="8" spans="1:6" ht="12.75">
      <c r="A8" t="s">
        <v>54</v>
      </c>
      <c r="B8" s="3">
        <f>B7*((E8+F6)/E6)</f>
        <v>592664.0243470876</v>
      </c>
      <c r="D8">
        <v>65</v>
      </c>
      <c r="E8">
        <v>5797</v>
      </c>
      <c r="F8">
        <v>3485</v>
      </c>
    </row>
    <row r="9" spans="1:2" ht="12.75">
      <c r="A9" s="4" t="s">
        <v>50</v>
      </c>
      <c r="B9" s="23">
        <f>B8-B5</f>
        <v>125681.22301649093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1">
      <selection activeCell="B33" sqref="B33"/>
    </sheetView>
  </sheetViews>
  <sheetFormatPr defaultColWidth="9.140625" defaultRowHeight="12.75"/>
  <cols>
    <col min="2" max="2" width="12.7109375" style="0" bestFit="1" customWidth="1"/>
  </cols>
  <sheetData>
    <row r="1" spans="1:7" ht="12.75">
      <c r="A1" s="24" t="s">
        <v>55</v>
      </c>
      <c r="B1" s="25" t="s">
        <v>56</v>
      </c>
      <c r="C1" s="26" t="s">
        <v>57</v>
      </c>
      <c r="D1" s="27" t="s">
        <v>58</v>
      </c>
      <c r="E1" s="27" t="s">
        <v>59</v>
      </c>
      <c r="F1" s="27" t="s">
        <v>60</v>
      </c>
      <c r="G1" s="27" t="s">
        <v>61</v>
      </c>
    </row>
    <row r="2" spans="1:7" ht="12.75">
      <c r="A2" s="28">
        <v>35</v>
      </c>
      <c r="B2" s="29">
        <v>145</v>
      </c>
      <c r="C2" s="29">
        <v>96379</v>
      </c>
      <c r="D2" s="30">
        <v>34251.49649737457</v>
      </c>
      <c r="E2" s="30">
        <v>805162.2762810987</v>
      </c>
      <c r="F2" s="30">
        <v>50.02970163321958</v>
      </c>
      <c r="G2" s="30">
        <v>10800.16806200276</v>
      </c>
    </row>
    <row r="3" spans="1:7" ht="12.75">
      <c r="A3" s="28">
        <v>36</v>
      </c>
      <c r="B3" s="29">
        <v>144</v>
      </c>
      <c r="C3" s="29">
        <v>96234</v>
      </c>
      <c r="D3" s="30">
        <v>33203.850392905195</v>
      </c>
      <c r="E3" s="30">
        <v>770910.7797837242</v>
      </c>
      <c r="F3" s="30">
        <v>48.2375429205465</v>
      </c>
      <c r="G3" s="30">
        <v>10750.138360369541</v>
      </c>
    </row>
    <row r="4" spans="1:7" ht="12.75">
      <c r="A4" s="28">
        <v>37</v>
      </c>
      <c r="B4" s="29">
        <v>147</v>
      </c>
      <c r="C4" s="29">
        <v>96090</v>
      </c>
      <c r="D4" s="30">
        <v>32188.510411356343</v>
      </c>
      <c r="E4" s="30">
        <v>737706.9293908189</v>
      </c>
      <c r="F4" s="30">
        <v>47.80824439940896</v>
      </c>
      <c r="G4" s="30">
        <v>10701.900817448995</v>
      </c>
    </row>
    <row r="5" spans="1:7" ht="12.75">
      <c r="A5" s="28">
        <v>38</v>
      </c>
      <c r="B5" s="29">
        <v>154</v>
      </c>
      <c r="C5" s="29">
        <v>95943</v>
      </c>
      <c r="D5" s="30">
        <v>31203.172737499957</v>
      </c>
      <c r="E5" s="30">
        <v>705518.4189794628</v>
      </c>
      <c r="F5" s="30">
        <v>48.62604608354123</v>
      </c>
      <c r="G5" s="30">
        <v>10654.092573049586</v>
      </c>
    </row>
    <row r="6" spans="1:7" ht="12.75">
      <c r="A6" s="28">
        <v>39</v>
      </c>
      <c r="B6" s="29">
        <v>158</v>
      </c>
      <c r="C6" s="29">
        <v>95789</v>
      </c>
      <c r="D6" s="30">
        <v>30245.716417508644</v>
      </c>
      <c r="E6" s="30">
        <v>674315.2462419628</v>
      </c>
      <c r="F6" s="30">
        <v>48.43598084226148</v>
      </c>
      <c r="G6" s="30">
        <v>10605.466526966045</v>
      </c>
    </row>
    <row r="7" spans="1:7" ht="12.75">
      <c r="A7" s="28">
        <v>40</v>
      </c>
      <c r="B7" s="29">
        <v>167</v>
      </c>
      <c r="C7" s="29">
        <v>95631</v>
      </c>
      <c r="D7" s="30">
        <v>29316.337240039924</v>
      </c>
      <c r="E7" s="30">
        <v>644069.5298244542</v>
      </c>
      <c r="F7" s="30">
        <v>49.70387612546188</v>
      </c>
      <c r="G7" s="30">
        <v>10557.030546123782</v>
      </c>
    </row>
    <row r="8" spans="1:7" ht="12.75">
      <c r="A8" s="28">
        <v>41</v>
      </c>
      <c r="B8" s="29">
        <v>181</v>
      </c>
      <c r="C8" s="29">
        <v>95464</v>
      </c>
      <c r="D8" s="30">
        <v>28412.75946371912</v>
      </c>
      <c r="E8" s="30">
        <v>614753.1925844143</v>
      </c>
      <c r="F8" s="30">
        <v>52.3016195494948</v>
      </c>
      <c r="G8" s="30">
        <v>10507.32666999832</v>
      </c>
    </row>
    <row r="9" spans="1:7" ht="12.75">
      <c r="A9" s="28">
        <v>42</v>
      </c>
      <c r="B9" s="29">
        <v>196</v>
      </c>
      <c r="C9" s="29">
        <v>95283</v>
      </c>
      <c r="D9" s="30">
        <v>27532.9017432846</v>
      </c>
      <c r="E9" s="30">
        <v>586340.4331206953</v>
      </c>
      <c r="F9" s="30">
        <v>54.986415446553565</v>
      </c>
      <c r="G9" s="30">
        <v>10455.025050448827</v>
      </c>
    </row>
    <row r="10" spans="1:7" ht="12.75">
      <c r="A10" s="28">
        <v>43</v>
      </c>
      <c r="B10" s="29">
        <v>214</v>
      </c>
      <c r="C10" s="29">
        <v>95087</v>
      </c>
      <c r="D10" s="30">
        <v>26675.986150849178</v>
      </c>
      <c r="E10" s="30">
        <v>558807.5313774107</v>
      </c>
      <c r="F10" s="30">
        <v>58.287561450180625</v>
      </c>
      <c r="G10" s="30">
        <v>10400.038635002273</v>
      </c>
    </row>
    <row r="11" spans="1:7" ht="12.75">
      <c r="A11" s="28">
        <v>44</v>
      </c>
      <c r="B11" s="29">
        <v>235</v>
      </c>
      <c r="C11" s="29">
        <v>94873</v>
      </c>
      <c r="D11" s="30">
        <v>25840.728118985917</v>
      </c>
      <c r="E11" s="30">
        <v>532131.5452265615</v>
      </c>
      <c r="F11" s="30">
        <v>62.14307658466766</v>
      </c>
      <c r="G11" s="30">
        <v>10341.751073552094</v>
      </c>
    </row>
    <row r="12" spans="1:7" ht="12.75">
      <c r="A12" s="28">
        <v>45</v>
      </c>
      <c r="B12" s="29">
        <v>255</v>
      </c>
      <c r="C12" s="29">
        <v>94638</v>
      </c>
      <c r="D12" s="30">
        <v>25025.942475828844</v>
      </c>
      <c r="E12" s="30">
        <v>506290.81710757565</v>
      </c>
      <c r="F12" s="30">
        <v>65.46781462131895</v>
      </c>
      <c r="G12" s="30">
        <v>10279.607996967427</v>
      </c>
    </row>
    <row r="13" spans="1:7" ht="12.75">
      <c r="A13" s="28">
        <v>46</v>
      </c>
      <c r="B13" s="29">
        <v>285</v>
      </c>
      <c r="C13" s="29">
        <v>94383</v>
      </c>
      <c r="D13" s="30">
        <v>24231.563715309596</v>
      </c>
      <c r="E13" s="30">
        <v>481264.87463174685</v>
      </c>
      <c r="F13" s="30">
        <v>71.03874801856426</v>
      </c>
      <c r="G13" s="30">
        <v>10214.140182346107</v>
      </c>
    </row>
    <row r="14" spans="1:7" ht="12.75">
      <c r="A14" s="28">
        <v>47</v>
      </c>
      <c r="B14" s="29">
        <v>325</v>
      </c>
      <c r="C14" s="29">
        <v>94098</v>
      </c>
      <c r="D14" s="30">
        <v>23454.75126684512</v>
      </c>
      <c r="E14" s="30">
        <v>457033.31091643724</v>
      </c>
      <c r="F14" s="30">
        <v>78.64961030840874</v>
      </c>
      <c r="G14" s="30">
        <v>10143.101434327544</v>
      </c>
    </row>
    <row r="15" spans="1:7" ht="12.75">
      <c r="A15" s="28">
        <v>48</v>
      </c>
      <c r="B15" s="29">
        <v>361</v>
      </c>
      <c r="C15" s="29">
        <v>93773</v>
      </c>
      <c r="D15" s="30">
        <v>22692.953561385886</v>
      </c>
      <c r="E15" s="30">
        <v>433578.5596495921</v>
      </c>
      <c r="F15" s="30">
        <v>84.81705547822422</v>
      </c>
      <c r="G15" s="30">
        <v>10064.451824019134</v>
      </c>
    </row>
    <row r="16" spans="1:7" ht="12.75">
      <c r="A16" s="28">
        <v>49</v>
      </c>
      <c r="B16" s="29">
        <v>395</v>
      </c>
      <c r="C16" s="29">
        <v>93412</v>
      </c>
      <c r="D16" s="30">
        <v>21947.176693440113</v>
      </c>
      <c r="E16" s="30">
        <v>410885.60608820623</v>
      </c>
      <c r="F16" s="30">
        <v>90.10229651695282</v>
      </c>
      <c r="G16" s="30">
        <v>9979.634768540911</v>
      </c>
    </row>
    <row r="17" spans="1:7" ht="12.75">
      <c r="A17" s="28">
        <v>50</v>
      </c>
      <c r="B17" s="29">
        <v>428</v>
      </c>
      <c r="C17" s="29">
        <v>93017</v>
      </c>
      <c r="D17" s="30">
        <v>21217.836240803546</v>
      </c>
      <c r="E17" s="30">
        <v>388938.42939476616</v>
      </c>
      <c r="F17" s="30">
        <v>94.78624286409195</v>
      </c>
      <c r="G17" s="30">
        <v>9889.532472023957</v>
      </c>
    </row>
    <row r="20" spans="1:2" ht="12.75">
      <c r="A20" t="s">
        <v>5</v>
      </c>
      <c r="B20" s="31">
        <v>300000</v>
      </c>
    </row>
    <row r="21" spans="1:2" ht="12.75">
      <c r="A21" t="s">
        <v>0</v>
      </c>
      <c r="B21">
        <v>40</v>
      </c>
    </row>
    <row r="22" spans="1:2" ht="12.75">
      <c r="A22" t="s">
        <v>4</v>
      </c>
      <c r="B22">
        <v>10</v>
      </c>
    </row>
    <row r="23" spans="1:2" ht="12.75">
      <c r="A23" t="s">
        <v>62</v>
      </c>
      <c r="B23">
        <v>0.07</v>
      </c>
    </row>
    <row r="24" spans="1:2" ht="12.75">
      <c r="A24" t="s">
        <v>63</v>
      </c>
      <c r="B24">
        <v>0.02</v>
      </c>
    </row>
    <row r="25" spans="1:2" ht="12.75">
      <c r="A25" t="s">
        <v>64</v>
      </c>
      <c r="B25">
        <v>50</v>
      </c>
    </row>
    <row r="28" spans="1:2" ht="12.75">
      <c r="A28" s="4" t="s">
        <v>9</v>
      </c>
      <c r="B28" s="14">
        <f>B20*((G7-G17+D17)/D7)</f>
        <v>223957.0462269</v>
      </c>
    </row>
    <row r="29" spans="1:2" ht="12.75">
      <c r="A29" s="4" t="s">
        <v>11</v>
      </c>
      <c r="B29" s="14">
        <f>(B28+B25)/(1-0.09)</f>
        <v>246161.58926032967</v>
      </c>
    </row>
    <row r="30" spans="1:2" ht="12.75">
      <c r="A30" s="4" t="s">
        <v>65</v>
      </c>
      <c r="B30" s="14">
        <f>B20*((G15-G17+D17)/D15)</f>
        <v>282811.43133171217</v>
      </c>
    </row>
    <row r="31" spans="1:2" ht="12.75">
      <c r="A31" s="4" t="s">
        <v>18</v>
      </c>
      <c r="B31" s="14">
        <f>B29/((E2-E7)/D2)</f>
        <v>52338.811012869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M.Mk.</dc:creator>
  <cp:keywords/>
  <dc:description/>
  <cp:lastModifiedBy> </cp:lastModifiedBy>
  <dcterms:created xsi:type="dcterms:W3CDTF">2003-06-20T01:06:51Z</dcterms:created>
  <dcterms:modified xsi:type="dcterms:W3CDTF">2004-04-07T10:50:41Z</dcterms:modified>
  <cp:category/>
  <cp:version/>
  <cp:contentType/>
  <cp:contentStatus/>
</cp:coreProperties>
</file>