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1"/>
  </bookViews>
  <sheets>
    <sheet name="Tavole" sheetId="1" r:id="rId1"/>
    <sheet name="Esercizi" sheetId="2" r:id="rId2"/>
  </sheets>
  <definedNames>
    <definedName name="solver_adj" localSheetId="1" hidden="1">'Esercizi'!#REF!</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'Esercizi'!#REF!</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8000000</definedName>
  </definedNames>
  <calcPr fullCalcOnLoad="1"/>
</workbook>
</file>

<file path=xl/comments1.xml><?xml version="1.0" encoding="utf-8"?>
<comments xmlns="http://schemas.openxmlformats.org/spreadsheetml/2006/main">
  <authors>
    <author>DSI</author>
  </authors>
  <commentList>
    <comment ref="C6" authorId="0">
      <text>
        <r>
          <rPr>
            <b/>
            <sz val="8"/>
            <rFont val="Tahoma"/>
            <family val="0"/>
          </rPr>
          <t xml:space="preserve">INSERIRE:
51   61   71     81   92
</t>
        </r>
      </text>
    </comment>
  </commentList>
</comments>
</file>

<file path=xl/sharedStrings.xml><?xml version="1.0" encoding="utf-8"?>
<sst xmlns="http://schemas.openxmlformats.org/spreadsheetml/2006/main" count="293" uniqueCount="208">
  <si>
    <t>Esercizio 1</t>
  </si>
  <si>
    <t>Testo</t>
  </si>
  <si>
    <t>Svolgimento</t>
  </si>
  <si>
    <t>Esercizio 2</t>
  </si>
  <si>
    <t>Esercizio 3</t>
  </si>
  <si>
    <t>Esercizio 4</t>
  </si>
  <si>
    <t>Esercizio 5</t>
  </si>
  <si>
    <t>P</t>
  </si>
  <si>
    <t>t</t>
  </si>
  <si>
    <t>A</t>
  </si>
  <si>
    <t>D</t>
  </si>
  <si>
    <t>,</t>
  </si>
  <si>
    <t>TAVOLE DI MORTALITA' ISTAT-MASCHI</t>
  </si>
  <si>
    <t>S.I.M.</t>
  </si>
  <si>
    <t>M(X)</t>
  </si>
  <si>
    <t>D(X)</t>
  </si>
  <si>
    <t>N(X)</t>
  </si>
  <si>
    <t>R(X)</t>
  </si>
  <si>
    <t>x+t</t>
  </si>
  <si>
    <t>x+n</t>
  </si>
  <si>
    <t>età</t>
  </si>
  <si>
    <t>dx m51</t>
  </si>
  <si>
    <t>lx51</t>
  </si>
  <si>
    <t>dx m61</t>
  </si>
  <si>
    <t>lx m61</t>
  </si>
  <si>
    <t>dx m71</t>
  </si>
  <si>
    <t>lx 71</t>
  </si>
  <si>
    <t>dx m81</t>
  </si>
  <si>
    <t>lx 81</t>
  </si>
  <si>
    <t>dx m 92</t>
  </si>
  <si>
    <t>lx  92</t>
  </si>
  <si>
    <t>dx</t>
  </si>
  <si>
    <t>lx</t>
  </si>
  <si>
    <t>C(X)</t>
  </si>
  <si>
    <t xml:space="preserve">  </t>
  </si>
  <si>
    <t>x+1</t>
  </si>
  <si>
    <t>Tasso</t>
  </si>
  <si>
    <t>Età (x)</t>
  </si>
  <si>
    <t>Differ. (m)</t>
  </si>
  <si>
    <t>Durata (n)</t>
  </si>
  <si>
    <t>Valut. (t)</t>
  </si>
  <si>
    <t>M(x)</t>
  </si>
  <si>
    <t>M(x+t)</t>
  </si>
  <si>
    <t>M(x+t+1)</t>
  </si>
  <si>
    <t>M(x+n)</t>
  </si>
  <si>
    <t>D(x)</t>
  </si>
  <si>
    <t>N(x)</t>
  </si>
  <si>
    <t>R(x)</t>
  </si>
  <si>
    <t>D(x+t)</t>
  </si>
  <si>
    <t>D(x+t+1)</t>
  </si>
  <si>
    <t>D(x+n)</t>
  </si>
  <si>
    <t>N(x+t)</t>
  </si>
  <si>
    <t>N(x+t+1)</t>
  </si>
  <si>
    <t>N(x+n)</t>
  </si>
  <si>
    <t>R(x+t)</t>
  </si>
  <si>
    <t>R(x+t+1)</t>
  </si>
  <si>
    <t>R(x+n)</t>
  </si>
  <si>
    <t>x</t>
  </si>
  <si>
    <t>n</t>
  </si>
  <si>
    <t>N</t>
  </si>
  <si>
    <t>i</t>
  </si>
  <si>
    <t>30a34</t>
  </si>
  <si>
    <t>R</t>
  </si>
  <si>
    <t>Verifica rata</t>
  </si>
  <si>
    <t>Ai10</t>
  </si>
  <si>
    <t>Ai0</t>
  </si>
  <si>
    <t>Ac10</t>
  </si>
  <si>
    <t>Ac0</t>
  </si>
  <si>
    <t>V10</t>
  </si>
  <si>
    <t>V0</t>
  </si>
  <si>
    <t>V40</t>
  </si>
  <si>
    <t>x+t1</t>
  </si>
  <si>
    <t>t1</t>
  </si>
  <si>
    <t>t2</t>
  </si>
  <si>
    <t>x+n+1</t>
  </si>
  <si>
    <t>x+t2</t>
  </si>
  <si>
    <t>Ai40</t>
  </si>
  <si>
    <t>x+t2+1</t>
  </si>
  <si>
    <t>M(x+1)</t>
  </si>
  <si>
    <t>D(x+1)</t>
  </si>
  <si>
    <t>N(x+1)</t>
  </si>
  <si>
    <t>R(x+1)</t>
  </si>
  <si>
    <t>M(x+m)</t>
  </si>
  <si>
    <t>D(x+m)</t>
  </si>
  <si>
    <t>N(x+m)</t>
  </si>
  <si>
    <t>R(x+m)</t>
  </si>
  <si>
    <t>M(x+m+1)</t>
  </si>
  <si>
    <t>S(X)</t>
  </si>
  <si>
    <t>D(x+m+1)</t>
  </si>
  <si>
    <t>N(x+m+1)</t>
  </si>
  <si>
    <t>R(x+m+1)</t>
  </si>
  <si>
    <t>M(x+n+1)</t>
  </si>
  <si>
    <t>D(x+n+1)</t>
  </si>
  <si>
    <t>S(x)</t>
  </si>
  <si>
    <t>S(x+1)</t>
  </si>
  <si>
    <t>S(x+m)</t>
  </si>
  <si>
    <t>S(x+m+1)</t>
  </si>
  <si>
    <t>S(x+t)</t>
  </si>
  <si>
    <t>S(x+t+1)</t>
  </si>
  <si>
    <t>S(x+n)</t>
  </si>
  <si>
    <t>C(x)</t>
  </si>
  <si>
    <t>C(x+1)</t>
  </si>
  <si>
    <t>C(x+m)</t>
  </si>
  <si>
    <t>C(x+m+1)</t>
  </si>
  <si>
    <t>C(x+t)</t>
  </si>
  <si>
    <t>C(x+t+1)</t>
  </si>
  <si>
    <t>C(x+n)</t>
  </si>
  <si>
    <t>C(x+n+1)</t>
  </si>
  <si>
    <t>R(x+n+1)</t>
  </si>
  <si>
    <t xml:space="preserve">Tasso    </t>
  </si>
  <si>
    <t>M</t>
  </si>
  <si>
    <t>C</t>
  </si>
  <si>
    <t>Verifica</t>
  </si>
  <si>
    <t>Ai15</t>
  </si>
  <si>
    <t>Ac15</t>
  </si>
  <si>
    <t>V15</t>
  </si>
  <si>
    <t>Un uomo di 36 anni stipula un contratto di mista semplice con una compagnia di assicurazione con capitale assicurato di 250.000 Euro e scadenza tra 25 anni. Si ipotizzi che paghi premi periodici costanti per tutta la durata del contratto. Calcolare:
1. Il premio annuo puro;
2. la riserva prospettiva al 15° anno di vita del contratto.
Si ipotizzi che a scadenza, in caso di sopravvivenza dell’assicurato, sia ad esso concessa la possibilità di tramutare il capitale in un premio unico (puro) per acquisire un contratto di rendita vitalizia, posticipata, immediata. Calcolare:
3. la rata della rendita che così verrebbe acquisita.
Utilizzare le tavole di mortalità del 1992 al 2%.</t>
  </si>
  <si>
    <t>N(x+n+1)</t>
  </si>
  <si>
    <t>S(x+n+1)</t>
  </si>
  <si>
    <t>Prestito</t>
  </si>
  <si>
    <t>Un uomo di 40 anni stipula con una compagnia assicuratrice il seguente contratto: la compagnia si impegna al versamento di una rendita vitalizia, annua, di euro 15.000, anticipata, differita di 15 anni, in cambio del versamento di 4 premi annui anticipati a partire dal momento della stipula del contratto ciascuno di importo doppio del precedente.  Il contratto prevede anche la possibilità per l’assicurato di prendere a prestito, a partire dal quinto anno, un importo pari al massimo al 75% della riserva matematica costituita al momento del prestito.  Impiegando le tavole S.i.m. 1981 e il tasso tecnico del 3% calcolare:
· l’importo dei 4 premi;
· l’importo massimo che l’assicurato può chiedere in prestito alla compagnia decorsi 10 anni dalla stipula del contratto.</t>
  </si>
  <si>
    <t>x+2</t>
  </si>
  <si>
    <t>x+3</t>
  </si>
  <si>
    <t>x+m</t>
  </si>
  <si>
    <t>P1</t>
  </si>
  <si>
    <t>P2</t>
  </si>
  <si>
    <t>P3</t>
  </si>
  <si>
    <t>P4</t>
  </si>
  <si>
    <t>m</t>
  </si>
  <si>
    <t>U</t>
  </si>
  <si>
    <t>quota</t>
  </si>
  <si>
    <t>1p40</t>
  </si>
  <si>
    <t>1q40</t>
  </si>
  <si>
    <t>1/1q40</t>
  </si>
  <si>
    <t>C1</t>
  </si>
  <si>
    <t>C2</t>
  </si>
  <si>
    <t>dalle tavole</t>
  </si>
  <si>
    <t>dalle tavole 4%</t>
  </si>
  <si>
    <t>Dx</t>
  </si>
  <si>
    <t>Nx</t>
  </si>
  <si>
    <t>5q50=</t>
  </si>
  <si>
    <t>5/1q50=</t>
  </si>
  <si>
    <t>7p50=</t>
  </si>
  <si>
    <t>D(x+m+n)</t>
  </si>
  <si>
    <t>N(x+m+n)</t>
  </si>
  <si>
    <t>S(x+m+n)</t>
  </si>
  <si>
    <t>C(x+m+n)</t>
  </si>
  <si>
    <t>M(x+m+n)</t>
  </si>
  <si>
    <t>R(x+m+n)</t>
  </si>
  <si>
    <t>Esercizio 6</t>
  </si>
  <si>
    <t>Un uomo di 45 anni stipula con una compagnia un contratto di assicurazione vita intera con capitale assicurato pari a 300.000  € e versamento di un premio unico. Calcolare, impiegando le tavole del 1981 al tasso del 3%:
1. il premio unico puro;
2. la riserva a premi puri in via prospettiva al 7° anno;
3. la riserva a premi puri in via retrospettiva al 9° anno;
3. l’importo che il soggetto avrebbe dovuto accantonare annualmente se avesse voluto costituire la somma necessaria per pagare il premio unico di tariffa all’età 45 con 5 rate annue anticipate versate a partire dall’età 40.</t>
  </si>
  <si>
    <t>V7</t>
  </si>
  <si>
    <t>V9</t>
  </si>
  <si>
    <t>Esercizio 7</t>
  </si>
  <si>
    <t>Mx</t>
  </si>
  <si>
    <t>V48</t>
  </si>
  <si>
    <t>C'</t>
  </si>
  <si>
    <t>C''</t>
  </si>
  <si>
    <t>U''</t>
  </si>
  <si>
    <t>P''</t>
  </si>
  <si>
    <t>Un uomo di 35 anni stipula un contratto di mista a capitale raddoppiato con un capitale assicurato di 500.000 € e scadenza tra 25 anni a fronte del quale si impegna a versare 3 premi puri costanti di cui il primo immediato e i successivi ogni 5 anni. Si determini l’importo dei premi. Si ipotizzi che all’età 48 l’assicurato convenga con la compagnia di posticipare la scadenza del contratto di 5 anni senza prevedere ulteriori premi e utilizzando la riserva costituita a quella data allo scopo. Si determini il nuovo valore del capitale assicurato. Si determini quale avrebbe dovuto essere il premio aggiuntivo per avere un capitale assicurato di 750.000 €. Si impieghino le tavole del 1981 e il tasso del 4%.</t>
  </si>
  <si>
    <t>x2</t>
  </si>
  <si>
    <t>Esercizio 8</t>
  </si>
  <si>
    <t>Cx</t>
  </si>
  <si>
    <t>Un uomo di 29 anni stipula un contratto di temporanea caso morte con un capitale assicurato di 300.000 € e scadenza tra 35 anni a fronte del quale si impegna a versare 10 premi puri annui costanti immediati ed anticipati crescenti in progressione aritmetica di 300 €. Si determini l’importo dei premi. Si calcoli la riserva matematica prospettiva all'epoca 5. Si determinino i primi 5 premi naturali ed i premi di riserva. Si impieghino le tavole del 1981 e il tasso del 4%.</t>
  </si>
  <si>
    <r>
      <t>(Ia)</t>
    </r>
    <r>
      <rPr>
        <vertAlign val="subscript"/>
        <sz val="12"/>
        <rFont val="Arial"/>
        <family val="2"/>
      </rPr>
      <t>29</t>
    </r>
  </si>
  <si>
    <r>
      <t>10/</t>
    </r>
    <r>
      <rPr>
        <sz val="12"/>
        <rFont val="Arial"/>
        <family val="2"/>
      </rPr>
      <t>a</t>
    </r>
    <r>
      <rPr>
        <vertAlign val="subscript"/>
        <sz val="12"/>
        <rFont val="Arial"/>
        <family val="2"/>
      </rPr>
      <t>29</t>
    </r>
  </si>
  <si>
    <t>k</t>
  </si>
  <si>
    <t>Sx</t>
  </si>
  <si>
    <r>
      <t>10/</t>
    </r>
    <r>
      <rPr>
        <sz val="12"/>
        <rFont val="Arial"/>
        <family val="2"/>
      </rPr>
      <t>(Ia)</t>
    </r>
    <r>
      <rPr>
        <vertAlign val="subscript"/>
        <sz val="12"/>
        <rFont val="Arial"/>
        <family val="2"/>
      </rPr>
      <t>29</t>
    </r>
  </si>
  <si>
    <r>
      <t>/10</t>
    </r>
    <r>
      <rPr>
        <sz val="12"/>
        <rFont val="Arial"/>
        <family val="2"/>
      </rPr>
      <t>a</t>
    </r>
    <r>
      <rPr>
        <vertAlign val="subscript"/>
        <sz val="12"/>
        <rFont val="Arial"/>
        <family val="2"/>
      </rPr>
      <t>29</t>
    </r>
  </si>
  <si>
    <r>
      <t>/10</t>
    </r>
    <r>
      <rPr>
        <sz val="12"/>
        <rFont val="Arial"/>
        <family val="2"/>
      </rPr>
      <t>(Ia)</t>
    </r>
    <r>
      <rPr>
        <vertAlign val="subscript"/>
        <sz val="12"/>
        <rFont val="Arial"/>
        <family val="2"/>
      </rPr>
      <t>29</t>
    </r>
  </si>
  <si>
    <t>P5</t>
  </si>
  <si>
    <t>P6</t>
  </si>
  <si>
    <t>P7</t>
  </si>
  <si>
    <t>P8</t>
  </si>
  <si>
    <t>P9</t>
  </si>
  <si>
    <t>P10</t>
  </si>
  <si>
    <t>PN1</t>
  </si>
  <si>
    <t>PN2</t>
  </si>
  <si>
    <t>PN3</t>
  </si>
  <si>
    <t>PN4</t>
  </si>
  <si>
    <t>PN5</t>
  </si>
  <si>
    <t>PRIS1</t>
  </si>
  <si>
    <t>PRIS2</t>
  </si>
  <si>
    <t>PRIS3</t>
  </si>
  <si>
    <t>PRIS4</t>
  </si>
  <si>
    <t>PRIS5</t>
  </si>
  <si>
    <t>Ai5</t>
  </si>
  <si>
    <r>
      <t>(Ia)</t>
    </r>
    <r>
      <rPr>
        <vertAlign val="subscript"/>
        <sz val="12"/>
        <rFont val="Arial"/>
        <family val="2"/>
      </rPr>
      <t>34</t>
    </r>
  </si>
  <si>
    <r>
      <t>5/</t>
    </r>
    <r>
      <rPr>
        <sz val="12"/>
        <rFont val="Arial"/>
        <family val="2"/>
      </rPr>
      <t>a</t>
    </r>
    <r>
      <rPr>
        <vertAlign val="subscript"/>
        <sz val="12"/>
        <rFont val="Arial"/>
        <family val="2"/>
      </rPr>
      <t>34</t>
    </r>
  </si>
  <si>
    <r>
      <t>5/</t>
    </r>
    <r>
      <rPr>
        <sz val="12"/>
        <rFont val="Arial"/>
        <family val="2"/>
      </rPr>
      <t>(Ia)</t>
    </r>
    <r>
      <rPr>
        <vertAlign val="subscript"/>
        <sz val="12"/>
        <rFont val="Arial"/>
        <family val="2"/>
      </rPr>
      <t>34</t>
    </r>
  </si>
  <si>
    <r>
      <t>/5</t>
    </r>
    <r>
      <rPr>
        <sz val="12"/>
        <rFont val="Arial"/>
        <family val="2"/>
      </rPr>
      <t>(Ia)</t>
    </r>
    <r>
      <rPr>
        <vertAlign val="subscript"/>
        <sz val="12"/>
        <rFont val="Arial"/>
        <family val="2"/>
      </rPr>
      <t>34</t>
    </r>
  </si>
  <si>
    <r>
      <t>/5</t>
    </r>
    <r>
      <rPr>
        <sz val="12"/>
        <rFont val="Arial"/>
        <family val="2"/>
      </rPr>
      <t>a</t>
    </r>
    <r>
      <rPr>
        <vertAlign val="subscript"/>
        <sz val="12"/>
        <rFont val="Arial"/>
        <family val="2"/>
      </rPr>
      <t>34</t>
    </r>
  </si>
  <si>
    <t>V5</t>
  </si>
  <si>
    <t>l45</t>
  </si>
  <si>
    <t>la</t>
  </si>
  <si>
    <t>Sia data la legge di sopravvivenza esponenziale con a = 20, la = 100.000, l45 = 60.653. Sulla base di essa si calcoli:
1. la forza di mortalità;
2. 1p40, 1q40, 1/1q40;
3. il premio unico dovuto da un assicurato di 30 anni per un contratto che prevede il pagamento di due capitali in caso vita, il primo di 50.000 Euro tra 10 anni ed il secondo di 100.000 Euro tra 15 anni, in base ad un tasso tecnico del 4%.</t>
  </si>
  <si>
    <r>
      <t xml:space="preserve">Un contratto assicurativo prevede il versamento di 3 rate, differite di 5 anni, anticipate, di importo pari a 20.000 Euro, a condizione che l’individuo oggi </t>
    </r>
    <r>
      <rPr>
        <b/>
        <sz val="14"/>
        <color indexed="10"/>
        <rFont val="Arial"/>
        <family val="2"/>
      </rPr>
      <t>cinquantenne</t>
    </r>
    <r>
      <rPr>
        <sz val="14"/>
        <rFont val="Arial"/>
        <family val="2"/>
      </rPr>
      <t xml:space="preserve"> sia in vita. Sulla base di tali dati, delle tavole di mortalità per la popolazione </t>
    </r>
    <r>
      <rPr>
        <b/>
        <sz val="14"/>
        <rFont val="Arial"/>
        <family val="2"/>
      </rPr>
      <t xml:space="preserve">italiana Maschi 1981 </t>
    </r>
    <r>
      <rPr>
        <sz val="14"/>
        <rFont val="Arial"/>
        <family val="2"/>
      </rPr>
      <t xml:space="preserve">e dell’ipotesi di </t>
    </r>
    <r>
      <rPr>
        <b/>
        <sz val="14"/>
        <rFont val="Arial"/>
        <family val="2"/>
      </rPr>
      <t>tasso tecnico pari al 4%:</t>
    </r>
    <r>
      <rPr>
        <sz val="14"/>
        <rFont val="Arial"/>
        <family val="2"/>
      </rPr>
      <t xml:space="preserve">
1. costruire la variabile casuale che descrive il valore attuale delle prestazioni;
2. calcolare il valore attuale medio delle prestazioni.
3. calcolare il premio periodico puro nell’ipotesi che lo stesso sia pagato anticipato per 5 anni.</t>
    </r>
  </si>
  <si>
    <t>IN GIALLO GLI INPUT</t>
  </si>
  <si>
    <t>6/1q50=</t>
  </si>
  <si>
    <t>V.C. Y</t>
  </si>
  <si>
    <t>E(Y)</t>
  </si>
  <si>
    <t>Princip Comp</t>
  </si>
  <si>
    <r>
      <t>5</t>
    </r>
    <r>
      <rPr>
        <sz val="12"/>
        <rFont val="Arial"/>
        <family val="2"/>
      </rPr>
      <t>a</t>
    </r>
    <r>
      <rPr>
        <vertAlign val="subscript"/>
        <sz val="12"/>
        <rFont val="Arial"/>
        <family val="2"/>
      </rPr>
      <t>x</t>
    </r>
  </si>
  <si>
    <r>
      <t xml:space="preserve">Un uomo di 34 anni stipula un contratto di rendita vitalizia posticipata differita di 30 anni con rata annua pari a X e paga in contropartita premi periodici annui anticipati per tutta la durata del differimento.
Calcolare:
1. L’importo della rata della rendita nell'ipotesi che il premio puro ammonti a 3000 €;
</t>
    </r>
    <r>
      <rPr>
        <strike/>
        <sz val="14"/>
        <rFont val="Arial"/>
        <family val="2"/>
      </rPr>
      <t>2. la riserva prospettiva al 10° e al 40° anno.</t>
    </r>
    <r>
      <rPr>
        <sz val="14"/>
        <rFont val="Arial"/>
        <family val="2"/>
      </rPr>
      <t xml:space="preserve">
Utilizzare le tavole di mortalità del 1981 al 4%.</t>
    </r>
  </si>
  <si>
    <t>Simboli Commutazione</t>
  </si>
  <si>
    <t>PU</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</si>
</sst>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 numFmtId="171" formatCode="0.0000"/>
    <numFmt numFmtId="172" formatCode="0.000%"/>
    <numFmt numFmtId="173" formatCode="_-* #,##0.000000_-;\-* #,##0.000000_-;_-* &quot;-&quot;_-;_-@_-"/>
    <numFmt numFmtId="174" formatCode="_-* #,##0.000_-;\-* #,##0.000_-;_-* &quot;-&quot;_-;_-@_-"/>
    <numFmt numFmtId="175" formatCode="#,##0_ ;\-#,##0\ "/>
    <numFmt numFmtId="176" formatCode="_-* #,##0.0_-;\-* #,##0.0_-;_-* &quot;-&quot;_-;_-@_-"/>
    <numFmt numFmtId="177" formatCode="_-* #,##0.0000_-;\-* #,##0.0000_-;_-* &quot;-&quot;_-;_-@_-"/>
    <numFmt numFmtId="178" formatCode="_-* #,##0.00_-;\-* #,##0.00_-;_-* &quot;-&quot;_-;_-@_-"/>
    <numFmt numFmtId="179" formatCode="_-* #,##0.00000_-;\-* #,##0.00000_-;_-* &quot;-&quot;_-;_-@_-"/>
    <numFmt numFmtId="180" formatCode="_-* #,##0.0000_-;\-* #,##0.0000_-;_-* &quot;-&quot;????_-;_-@_-"/>
    <numFmt numFmtId="181" formatCode="_-* #,##0.000_-;\-* #,##0.000_-;_-* &quot;-&quot;????_-;_-@_-"/>
    <numFmt numFmtId="182" formatCode="_-* #,##0.00_-;\-* #,##0.00_-;_-* &quot;-&quot;????_-;_-@_-"/>
    <numFmt numFmtId="183" formatCode="_-* #,##0.0_-;\-* #,##0.0_-;_-* &quot;-&quot;????_-;_-@_-"/>
    <numFmt numFmtId="184" formatCode="_-* #,##0_-;\-* #,##0_-;_-* &quot;-&quot;????_-;_-@_-"/>
    <numFmt numFmtId="185" formatCode="#,##0.0000_ ;\-#,##0.0000\ "/>
    <numFmt numFmtId="186" formatCode="0.00000000"/>
    <numFmt numFmtId="187" formatCode="0.0000000"/>
    <numFmt numFmtId="188" formatCode="0.000000"/>
    <numFmt numFmtId="189" formatCode="0.00000"/>
    <numFmt numFmtId="190" formatCode="0.000"/>
    <numFmt numFmtId="191" formatCode="0.0%"/>
    <numFmt numFmtId="192" formatCode="0.0000%"/>
    <numFmt numFmtId="193" formatCode="&quot;Sì&quot;;&quot;Sì&quot;;&quot;No&quot;"/>
    <numFmt numFmtId="194" formatCode="&quot;Vero&quot;;&quot;Vero&quot;;&quot;Falso&quot;"/>
    <numFmt numFmtId="195" formatCode="&quot;Attivo&quot;;&quot;Attivo&quot;;&quot;Disattivo&quot;"/>
    <numFmt numFmtId="196" formatCode="0.00000%"/>
    <numFmt numFmtId="197" formatCode="0.000000000"/>
    <numFmt numFmtId="198" formatCode="_-* #,##0.000000_-;\-* #,##0.000000_-;_-* &quot;-&quot;??????_-;_-@_-"/>
    <numFmt numFmtId="199" formatCode="_-* #,##0.00000_-;\-* #,##0.00000_-;_-* &quot;-&quot;??????_-;_-@_-"/>
    <numFmt numFmtId="200" formatCode="_-* #,##0.0000_-;\-* #,##0.0000_-;_-* &quot;-&quot;??????_-;_-@_-"/>
    <numFmt numFmtId="201" formatCode="_-* #,##0.000_-;\-* #,##0.000_-;_-* &quot;-&quot;??????_-;_-@_-"/>
    <numFmt numFmtId="202" formatCode="_-* #,##0.00_-;\-* #,##0.00_-;_-* &quot;-&quot;??????_-;_-@_-"/>
    <numFmt numFmtId="203" formatCode="_-* #,##0.0_-;\-* #,##0.0_-;_-* &quot;-&quot;??_-;_-@_-"/>
    <numFmt numFmtId="204" formatCode="_-* #,##0_-;\-* #,##0_-;_-* &quot;-&quot;??_-;_-@_-"/>
  </numFmts>
  <fonts count="18">
    <font>
      <sz val="10"/>
      <name val="Arial"/>
      <family val="0"/>
    </font>
    <font>
      <b/>
      <sz val="14"/>
      <name val="Arial"/>
      <family val="2"/>
    </font>
    <font>
      <sz val="14"/>
      <name val="Arial"/>
      <family val="2"/>
    </font>
    <font>
      <b/>
      <sz val="10"/>
      <name val="MS Sans Serif"/>
      <family val="0"/>
    </font>
    <font>
      <b/>
      <sz val="8"/>
      <name val="Tahoma"/>
      <family val="0"/>
    </font>
    <font>
      <sz val="12"/>
      <name val="Arial"/>
      <family val="2"/>
    </font>
    <font>
      <b/>
      <i/>
      <u val="single"/>
      <sz val="12"/>
      <name val="Arial"/>
      <family val="2"/>
    </font>
    <font>
      <i/>
      <sz val="12"/>
      <name val="Arial"/>
      <family val="2"/>
    </font>
    <font>
      <b/>
      <i/>
      <u val="singleAccounting"/>
      <sz val="12"/>
      <name val="Arial"/>
      <family val="2"/>
    </font>
    <font>
      <sz val="12"/>
      <name val="Symbol"/>
      <family val="1"/>
    </font>
    <font>
      <vertAlign val="subscript"/>
      <sz val="12"/>
      <name val="Arial"/>
      <family val="2"/>
    </font>
    <font>
      <sz val="12"/>
      <name val="MS Sans Serif"/>
      <family val="0"/>
    </font>
    <font>
      <b/>
      <sz val="14"/>
      <color indexed="10"/>
      <name val="Arial"/>
      <family val="2"/>
    </font>
    <font>
      <b/>
      <i/>
      <u val="single"/>
      <sz val="14"/>
      <color indexed="10"/>
      <name val="Arial"/>
      <family val="2"/>
    </font>
    <font>
      <strike/>
      <sz val="14"/>
      <name val="Arial"/>
      <family val="2"/>
    </font>
    <font>
      <b/>
      <sz val="12"/>
      <name val="Arial"/>
      <family val="2"/>
    </font>
    <font>
      <b/>
      <u val="single"/>
      <sz val="12"/>
      <name val="Arial"/>
      <family val="2"/>
    </font>
    <font>
      <b/>
      <sz val="8"/>
      <name val="Arial"/>
      <family val="2"/>
    </font>
  </fonts>
  <fills count="6">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65"/>
        <bgColor indexed="64"/>
      </patternFill>
    </fill>
  </fills>
  <borders count="21">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color indexed="63"/>
      </bottom>
    </border>
    <border>
      <left style="thin"/>
      <right style="thin"/>
      <top style="thin"/>
      <bottom>
        <color indexed="63"/>
      </bottom>
    </border>
    <border>
      <left>
        <color indexed="63"/>
      </left>
      <right style="medium"/>
      <top>
        <color indexed="63"/>
      </top>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47">
    <xf numFmtId="0" fontId="0" fillId="0" borderId="0" xfId="0" applyAlignment="1">
      <alignment/>
    </xf>
    <xf numFmtId="0" fontId="1" fillId="2" borderId="0" xfId="0" applyFont="1" applyFill="1" applyAlignment="1">
      <alignment/>
    </xf>
    <xf numFmtId="0" fontId="1" fillId="0" borderId="0" xfId="0" applyFont="1" applyAlignment="1">
      <alignment/>
    </xf>
    <xf numFmtId="0" fontId="2" fillId="0" borderId="0" xfId="0" applyFont="1" applyAlignment="1">
      <alignment/>
    </xf>
    <xf numFmtId="0" fontId="0" fillId="0" borderId="0" xfId="0" applyFont="1" applyAlignment="1">
      <alignment/>
    </xf>
    <xf numFmtId="0" fontId="0" fillId="0" borderId="0" xfId="0" applyFill="1" applyAlignment="1" applyProtection="1">
      <alignment horizontal="center"/>
      <protection locked="0"/>
    </xf>
    <xf numFmtId="0" fontId="0" fillId="0" borderId="0" xfId="0" applyFill="1" applyAlignment="1" applyProtection="1">
      <alignment/>
      <protection locked="0"/>
    </xf>
    <xf numFmtId="0" fontId="0" fillId="0" borderId="0" xfId="0" applyFill="1" applyAlignment="1" applyProtection="1">
      <alignment/>
      <protection/>
    </xf>
    <xf numFmtId="0" fontId="3" fillId="0" borderId="0" xfId="0" applyFont="1" applyFill="1" applyAlignment="1" applyProtection="1">
      <alignment/>
      <protection locked="0"/>
    </xf>
    <xf numFmtId="0" fontId="3" fillId="3" borderId="1" xfId="0" applyFont="1" applyFill="1" applyBorder="1" applyAlignment="1" applyProtection="1">
      <alignment/>
      <protection locked="0"/>
    </xf>
    <xf numFmtId="0" fontId="3" fillId="3" borderId="2" xfId="0" applyFont="1" applyFill="1" applyBorder="1" applyAlignment="1" applyProtection="1">
      <alignment horizontal="center"/>
      <protection locked="0"/>
    </xf>
    <xf numFmtId="0" fontId="3" fillId="0" borderId="0" xfId="0" applyFont="1" applyFill="1" applyAlignment="1" applyProtection="1">
      <alignment horizontal="center"/>
      <protection locked="0"/>
    </xf>
    <xf numFmtId="0" fontId="3" fillId="0" borderId="3" xfId="0" applyFont="1" applyFill="1" applyBorder="1" applyAlignment="1" applyProtection="1">
      <alignment/>
      <protection locked="0"/>
    </xf>
    <xf numFmtId="0" fontId="3" fillId="0" borderId="0" xfId="0" applyFont="1" applyAlignment="1">
      <alignment horizontal="center"/>
    </xf>
    <xf numFmtId="0" fontId="3" fillId="3" borderId="4" xfId="0" applyFont="1" applyFill="1" applyBorder="1" applyAlignment="1" applyProtection="1">
      <alignment horizontal="center"/>
      <protection locked="0"/>
    </xf>
    <xf numFmtId="0" fontId="0" fillId="0" borderId="0" xfId="0" applyFill="1" applyAlignment="1" applyProtection="1" quotePrefix="1">
      <alignment/>
      <protection locked="0"/>
    </xf>
    <xf numFmtId="0" fontId="0" fillId="0" borderId="0" xfId="0" applyAlignment="1">
      <alignment horizontal="center"/>
    </xf>
    <xf numFmtId="0" fontId="3" fillId="0" borderId="5" xfId="0" applyFont="1" applyFill="1" applyBorder="1" applyAlignment="1" applyProtection="1">
      <alignment/>
      <protection locked="0"/>
    </xf>
    <xf numFmtId="0" fontId="0" fillId="0" borderId="6" xfId="0" applyBorder="1" applyAlignment="1">
      <alignment horizontal="center"/>
    </xf>
    <xf numFmtId="0" fontId="0" fillId="0" borderId="6" xfId="0" applyBorder="1" applyAlignment="1">
      <alignment/>
    </xf>
    <xf numFmtId="0" fontId="0" fillId="0" borderId="6" xfId="0" applyNumberFormat="1" applyBorder="1" applyAlignment="1">
      <alignment/>
    </xf>
    <xf numFmtId="0" fontId="0" fillId="0" borderId="6" xfId="0" applyNumberFormat="1" applyBorder="1" applyAlignment="1">
      <alignment horizontal="center"/>
    </xf>
    <xf numFmtId="0" fontId="0" fillId="0" borderId="0" xfId="0" applyAlignment="1">
      <alignment horizontal="right"/>
    </xf>
    <xf numFmtId="2" fontId="0" fillId="0" borderId="0" xfId="0" applyNumberFormat="1" applyAlignment="1">
      <alignment/>
    </xf>
    <xf numFmtId="0" fontId="0" fillId="0" borderId="0" xfId="0" applyFill="1" applyBorder="1" applyAlignment="1" applyProtection="1">
      <alignment/>
      <protection locked="0"/>
    </xf>
    <xf numFmtId="3" fontId="0" fillId="0" borderId="0" xfId="0" applyNumberFormat="1" applyFill="1" applyBorder="1" applyAlignment="1" applyProtection="1">
      <alignment horizontal="center"/>
      <protection locked="0"/>
    </xf>
    <xf numFmtId="0" fontId="0" fillId="0" borderId="0" xfId="0" applyFill="1" applyBorder="1" applyAlignment="1" applyProtection="1">
      <alignment horizontal="center"/>
      <protection locked="0"/>
    </xf>
    <xf numFmtId="3" fontId="0" fillId="0" borderId="0" xfId="0" applyNumberFormat="1" applyAlignment="1">
      <alignment/>
    </xf>
    <xf numFmtId="0" fontId="3" fillId="4" borderId="7" xfId="0" applyFont="1" applyFill="1" applyBorder="1" applyAlignment="1">
      <alignment horizontal="center"/>
    </xf>
    <xf numFmtId="0" fontId="3" fillId="5" borderId="7" xfId="0" applyFont="1" applyFill="1" applyBorder="1" applyAlignment="1">
      <alignment horizontal="center"/>
    </xf>
    <xf numFmtId="0" fontId="3" fillId="4" borderId="7" xfId="0" applyFont="1" applyFill="1" applyBorder="1" applyAlignment="1" applyProtection="1">
      <alignment horizontal="center"/>
      <protection locked="0"/>
    </xf>
    <xf numFmtId="0" fontId="3" fillId="4" borderId="8" xfId="0" applyFont="1" applyFill="1" applyBorder="1" applyAlignment="1">
      <alignment/>
    </xf>
    <xf numFmtId="0" fontId="3" fillId="3" borderId="9" xfId="0" applyFont="1" applyFill="1" applyBorder="1" applyAlignment="1">
      <alignment horizontal="center"/>
    </xf>
    <xf numFmtId="0" fontId="3" fillId="3" borderId="7" xfId="0" applyFont="1" applyFill="1" applyBorder="1" applyAlignment="1" applyProtection="1">
      <alignment horizontal="center"/>
      <protection locked="0"/>
    </xf>
    <xf numFmtId="0" fontId="3" fillId="3" borderId="1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0" fillId="4" borderId="6" xfId="0" applyFill="1" applyBorder="1" applyAlignment="1" applyProtection="1">
      <alignment horizontal="center"/>
      <protection locked="0"/>
    </xf>
    <xf numFmtId="0" fontId="0" fillId="0" borderId="6" xfId="0" applyFill="1" applyBorder="1" applyAlignment="1" applyProtection="1">
      <alignment/>
      <protection locked="0"/>
    </xf>
    <xf numFmtId="0" fontId="0" fillId="0" borderId="11" xfId="0" applyBorder="1" applyAlignment="1">
      <alignment/>
    </xf>
    <xf numFmtId="0" fontId="0" fillId="0" borderId="6" xfId="0" applyNumberFormat="1" applyBorder="1" applyAlignment="1" applyProtection="1">
      <alignment/>
      <protection locked="0"/>
    </xf>
    <xf numFmtId="0" fontId="0" fillId="0" borderId="6" xfId="0" applyBorder="1" applyAlignment="1" applyProtection="1">
      <alignment/>
      <protection locked="0"/>
    </xf>
    <xf numFmtId="0" fontId="0" fillId="0" borderId="6" xfId="0" applyFill="1" applyBorder="1" applyAlignment="1" applyProtection="1">
      <alignment/>
      <protection/>
    </xf>
    <xf numFmtId="0" fontId="0" fillId="0" borderId="12" xfId="0" applyBorder="1" applyAlignment="1">
      <alignment/>
    </xf>
    <xf numFmtId="38" fontId="0" fillId="0" borderId="12" xfId="15" applyNumberFormat="1" applyBorder="1" applyAlignment="1" applyProtection="1">
      <alignment/>
      <protection locked="0"/>
    </xf>
    <xf numFmtId="0" fontId="0" fillId="0" borderId="6" xfId="0" applyFill="1" applyBorder="1" applyAlignment="1" applyProtection="1" quotePrefix="1">
      <alignment/>
      <protection locked="0"/>
    </xf>
    <xf numFmtId="38" fontId="0" fillId="0" borderId="6" xfId="15" applyNumberFormat="1" applyBorder="1" applyAlignment="1" applyProtection="1">
      <alignment/>
      <protection locked="0"/>
    </xf>
    <xf numFmtId="0" fontId="0" fillId="0" borderId="10" xfId="0" applyBorder="1" applyAlignment="1">
      <alignment horizontal="center"/>
    </xf>
    <xf numFmtId="0" fontId="0" fillId="0" borderId="10" xfId="0" applyBorder="1" applyAlignment="1">
      <alignment/>
    </xf>
    <xf numFmtId="0" fontId="0" fillId="0" borderId="10" xfId="0" applyNumberFormat="1" applyBorder="1" applyAlignment="1">
      <alignment/>
    </xf>
    <xf numFmtId="0" fontId="0" fillId="0" borderId="10" xfId="0" applyNumberFormat="1" applyBorder="1" applyAlignment="1">
      <alignment horizontal="center"/>
    </xf>
    <xf numFmtId="0" fontId="0" fillId="0" borderId="0" xfId="0" applyNumberFormat="1" applyAlignment="1">
      <alignment horizontal="center"/>
    </xf>
    <xf numFmtId="0" fontId="0" fillId="0" borderId="0" xfId="0" applyNumberFormat="1" applyFill="1" applyAlignment="1" applyProtection="1">
      <alignment/>
      <protection locked="0"/>
    </xf>
    <xf numFmtId="4" fontId="0" fillId="0" borderId="0" xfId="0" applyNumberFormat="1" applyFill="1" applyAlignment="1" applyProtection="1">
      <alignment/>
      <protection locked="0"/>
    </xf>
    <xf numFmtId="3" fontId="0" fillId="0" borderId="0" xfId="0" applyNumberFormat="1" applyFill="1" applyAlignment="1" applyProtection="1">
      <alignment/>
      <protection locked="0"/>
    </xf>
    <xf numFmtId="0" fontId="0" fillId="0" borderId="0" xfId="0" applyNumberFormat="1" applyFill="1" applyAlignment="1" applyProtection="1">
      <alignment horizontal="center"/>
      <protection locked="0"/>
    </xf>
    <xf numFmtId="0" fontId="0" fillId="0" borderId="6" xfId="0" applyNumberFormat="1" applyFill="1" applyBorder="1" applyAlignment="1" applyProtection="1">
      <alignment/>
      <protection locked="0"/>
    </xf>
    <xf numFmtId="0" fontId="0" fillId="0" borderId="6" xfId="0" applyNumberFormat="1" applyFill="1" applyBorder="1" applyAlignment="1" applyProtection="1">
      <alignment/>
      <protection/>
    </xf>
    <xf numFmtId="0" fontId="0" fillId="4" borderId="11" xfId="0" applyFill="1" applyBorder="1" applyAlignment="1" applyProtection="1">
      <alignment horizontal="center"/>
      <protection locked="0"/>
    </xf>
    <xf numFmtId="0" fontId="3" fillId="3" borderId="13" xfId="0" applyFont="1" applyFill="1" applyBorder="1" applyAlignment="1" applyProtection="1">
      <alignment horizontal="center"/>
      <protection locked="0"/>
    </xf>
    <xf numFmtId="2" fontId="0" fillId="0" borderId="6" xfId="0" applyNumberFormat="1" applyFill="1" applyBorder="1" applyAlignment="1" applyProtection="1">
      <alignment/>
      <protection locked="0"/>
    </xf>
    <xf numFmtId="171" fontId="0" fillId="0" borderId="6" xfId="0" applyNumberFormat="1" applyFill="1" applyBorder="1" applyAlignment="1" applyProtection="1" quotePrefix="1">
      <alignment/>
      <protection locked="0"/>
    </xf>
    <xf numFmtId="171" fontId="0" fillId="0" borderId="6" xfId="0" applyNumberFormat="1" applyFill="1" applyBorder="1" applyAlignment="1" applyProtection="1">
      <alignment/>
      <protection locked="0"/>
    </xf>
    <xf numFmtId="0" fontId="0" fillId="0" borderId="0" xfId="0" applyBorder="1" applyAlignment="1">
      <alignment/>
    </xf>
    <xf numFmtId="0" fontId="5" fillId="0" borderId="0" xfId="0" applyFont="1" applyAlignment="1">
      <alignment/>
    </xf>
    <xf numFmtId="41" fontId="5" fillId="0" borderId="0" xfId="16" applyFont="1" applyAlignment="1">
      <alignment/>
    </xf>
    <xf numFmtId="188" fontId="5" fillId="0" borderId="0" xfId="0" applyNumberFormat="1" applyFont="1" applyAlignment="1">
      <alignment/>
    </xf>
    <xf numFmtId="0" fontId="6" fillId="0" borderId="0" xfId="0" applyFont="1" applyAlignment="1">
      <alignment/>
    </xf>
    <xf numFmtId="178" fontId="6" fillId="0" borderId="0" xfId="16" applyNumberFormat="1" applyFont="1" applyAlignment="1">
      <alignment/>
    </xf>
    <xf numFmtId="178" fontId="5" fillId="0" borderId="0" xfId="16" applyNumberFormat="1" applyFont="1" applyAlignment="1">
      <alignment/>
    </xf>
    <xf numFmtId="178" fontId="6" fillId="0" borderId="0" xfId="0" applyNumberFormat="1" applyFont="1" applyAlignment="1">
      <alignment/>
    </xf>
    <xf numFmtId="178" fontId="5" fillId="0" borderId="0" xfId="0" applyNumberFormat="1" applyFont="1" applyAlignment="1">
      <alignment/>
    </xf>
    <xf numFmtId="2" fontId="0" fillId="3" borderId="14" xfId="0" applyNumberFormat="1" applyFill="1" applyBorder="1" applyAlignment="1" applyProtection="1" quotePrefix="1">
      <alignment/>
      <protection locked="0"/>
    </xf>
    <xf numFmtId="171" fontId="0" fillId="3" borderId="14" xfId="0" applyNumberFormat="1" applyFill="1" applyBorder="1" applyAlignment="1" applyProtection="1" quotePrefix="1">
      <alignment/>
      <protection locked="0"/>
    </xf>
    <xf numFmtId="1" fontId="0" fillId="0" borderId="6" xfId="0" applyNumberFormat="1" applyFill="1" applyBorder="1" applyAlignment="1" applyProtection="1">
      <alignment/>
      <protection locked="0"/>
    </xf>
    <xf numFmtId="1" fontId="0" fillId="3" borderId="14" xfId="0" applyNumberFormat="1" applyFill="1" applyBorder="1" applyAlignment="1" applyProtection="1" quotePrefix="1">
      <alignment/>
      <protection locked="0"/>
    </xf>
    <xf numFmtId="0" fontId="3" fillId="0" borderId="0" xfId="0" applyFont="1" applyFill="1" applyAlignment="1">
      <alignment horizontal="center" vertical="center"/>
    </xf>
    <xf numFmtId="0" fontId="0" fillId="0" borderId="0" xfId="0" applyFill="1" applyAlignment="1">
      <alignment horizontal="center" vertical="center"/>
    </xf>
    <xf numFmtId="171" fontId="5" fillId="0" borderId="0" xfId="0" applyNumberFormat="1" applyFont="1" applyAlignment="1">
      <alignment/>
    </xf>
    <xf numFmtId="1" fontId="5" fillId="0" borderId="0" xfId="0" applyNumberFormat="1" applyFont="1" applyAlignment="1">
      <alignment/>
    </xf>
    <xf numFmtId="2" fontId="5" fillId="0" borderId="0" xfId="0" applyNumberFormat="1" applyFont="1" applyAlignment="1">
      <alignment/>
    </xf>
    <xf numFmtId="0" fontId="7" fillId="0" borderId="0" xfId="0" applyFont="1" applyAlignment="1">
      <alignment/>
    </xf>
    <xf numFmtId="9" fontId="5" fillId="0" borderId="0" xfId="0" applyNumberFormat="1" applyFont="1" applyAlignment="1">
      <alignment/>
    </xf>
    <xf numFmtId="41" fontId="5" fillId="0" borderId="0" xfId="0" applyNumberFormat="1" applyFont="1" applyAlignment="1">
      <alignment/>
    </xf>
    <xf numFmtId="178" fontId="7" fillId="0" borderId="0" xfId="16" applyNumberFormat="1" applyFont="1" applyAlignment="1">
      <alignment/>
    </xf>
    <xf numFmtId="41" fontId="8" fillId="0" borderId="0" xfId="16" applyFont="1" applyAlignment="1">
      <alignment/>
    </xf>
    <xf numFmtId="41" fontId="8" fillId="0" borderId="0" xfId="0" applyNumberFormat="1" applyFont="1" applyAlignment="1">
      <alignment/>
    </xf>
    <xf numFmtId="2" fontId="5" fillId="0" borderId="0" xfId="16" applyNumberFormat="1" applyFont="1" applyAlignment="1">
      <alignment/>
    </xf>
    <xf numFmtId="171" fontId="5" fillId="0" borderId="0" xfId="16" applyNumberFormat="1" applyFont="1" applyAlignment="1">
      <alignment/>
    </xf>
    <xf numFmtId="0" fontId="9" fillId="0" borderId="0" xfId="0" applyFont="1" applyAlignment="1">
      <alignment/>
    </xf>
    <xf numFmtId="188" fontId="6" fillId="0" borderId="0" xfId="0" applyNumberFormat="1" applyFont="1" applyAlignment="1">
      <alignment/>
    </xf>
    <xf numFmtId="0" fontId="5" fillId="0" borderId="0" xfId="0" applyFont="1" applyAlignment="1">
      <alignment/>
    </xf>
    <xf numFmtId="2" fontId="5" fillId="0" borderId="0" xfId="0" applyNumberFormat="1" applyFont="1" applyAlignment="1">
      <alignment/>
    </xf>
    <xf numFmtId="178" fontId="8" fillId="0" borderId="0" xfId="16" applyNumberFormat="1" applyFont="1" applyAlignment="1">
      <alignment/>
    </xf>
    <xf numFmtId="0" fontId="5" fillId="0" borderId="0" xfId="0" applyFont="1" applyAlignment="1">
      <alignment horizontal="right"/>
    </xf>
    <xf numFmtId="0" fontId="10" fillId="0" borderId="0" xfId="0" applyFont="1" applyAlignment="1">
      <alignment/>
    </xf>
    <xf numFmtId="178" fontId="8" fillId="0" borderId="0" xfId="0" applyNumberFormat="1" applyFont="1" applyAlignment="1">
      <alignment/>
    </xf>
    <xf numFmtId="3" fontId="5" fillId="0" borderId="0" xfId="0" applyNumberFormat="1" applyFont="1" applyAlignment="1">
      <alignment/>
    </xf>
    <xf numFmtId="4" fontId="6" fillId="0" borderId="0" xfId="0" applyNumberFormat="1" applyFont="1" applyAlignment="1">
      <alignment/>
    </xf>
    <xf numFmtId="171" fontId="5" fillId="0" borderId="0" xfId="0" applyNumberFormat="1" applyFont="1" applyFill="1" applyBorder="1" applyAlignment="1" applyProtection="1" quotePrefix="1">
      <alignment/>
      <protection locked="0"/>
    </xf>
    <xf numFmtId="0" fontId="11" fillId="0" borderId="0" xfId="0" applyFont="1" applyFill="1" applyBorder="1" applyAlignment="1" applyProtection="1">
      <alignment horizontal="center"/>
      <protection locked="0"/>
    </xf>
    <xf numFmtId="0" fontId="5" fillId="0" borderId="0" xfId="0" applyFont="1" applyFill="1" applyAlignment="1">
      <alignment/>
    </xf>
    <xf numFmtId="43" fontId="5" fillId="0" borderId="0" xfId="0" applyNumberFormat="1" applyFont="1" applyAlignment="1">
      <alignment/>
    </xf>
    <xf numFmtId="43" fontId="6" fillId="0" borderId="0" xfId="0" applyNumberFormat="1" applyFont="1" applyAlignment="1">
      <alignment/>
    </xf>
    <xf numFmtId="2" fontId="5" fillId="0" borderId="0" xfId="0" applyNumberFormat="1" applyFont="1" applyFill="1" applyAlignment="1">
      <alignment/>
    </xf>
    <xf numFmtId="1" fontId="5" fillId="0" borderId="0" xfId="0" applyNumberFormat="1" applyFont="1" applyFill="1" applyAlignment="1">
      <alignment/>
    </xf>
    <xf numFmtId="0" fontId="10" fillId="0" borderId="0" xfId="0" applyFont="1" applyFill="1" applyAlignment="1">
      <alignment/>
    </xf>
    <xf numFmtId="188" fontId="5" fillId="0" borderId="0" xfId="0" applyNumberFormat="1" applyFont="1" applyFill="1" applyAlignment="1">
      <alignment/>
    </xf>
    <xf numFmtId="198" fontId="8" fillId="0" borderId="0" xfId="0" applyNumberFormat="1" applyFont="1" applyAlignment="1">
      <alignment/>
    </xf>
    <xf numFmtId="202" fontId="8" fillId="0" borderId="0" xfId="0" applyNumberFormat="1" applyFont="1" applyAlignment="1">
      <alignment/>
    </xf>
    <xf numFmtId="41" fontId="5" fillId="3" borderId="0" xfId="16" applyFont="1" applyFill="1" applyAlignment="1">
      <alignment/>
    </xf>
    <xf numFmtId="0" fontId="5" fillId="3" borderId="0" xfId="0" applyFont="1" applyFill="1" applyAlignment="1">
      <alignment/>
    </xf>
    <xf numFmtId="204" fontId="5" fillId="3" borderId="0" xfId="15" applyNumberFormat="1" applyFont="1" applyFill="1" applyAlignment="1">
      <alignment/>
    </xf>
    <xf numFmtId="0" fontId="5" fillId="0" borderId="0" xfId="0" applyFont="1" applyAlignment="1">
      <alignment horizontal="center"/>
    </xf>
    <xf numFmtId="41" fontId="5" fillId="3" borderId="0" xfId="16" applyFont="1" applyFill="1" applyAlignment="1">
      <alignment/>
    </xf>
    <xf numFmtId="0" fontId="5" fillId="3" borderId="0" xfId="0" applyFont="1" applyFill="1" applyAlignment="1">
      <alignment/>
    </xf>
    <xf numFmtId="0" fontId="0" fillId="3" borderId="6" xfId="0" applyFill="1" applyBorder="1" applyAlignment="1" applyProtection="1">
      <alignment/>
      <protection locked="0"/>
    </xf>
    <xf numFmtId="0" fontId="5" fillId="0" borderId="1" xfId="0" applyFont="1" applyBorder="1" applyAlignment="1">
      <alignment/>
    </xf>
    <xf numFmtId="178" fontId="8" fillId="0" borderId="15" xfId="0" applyNumberFormat="1" applyFont="1" applyBorder="1" applyAlignment="1">
      <alignment/>
    </xf>
    <xf numFmtId="178" fontId="6" fillId="0" borderId="15" xfId="16" applyNumberFormat="1" applyFont="1" applyBorder="1" applyAlignment="1">
      <alignment/>
    </xf>
    <xf numFmtId="178" fontId="6" fillId="0" borderId="2" xfId="16" applyNumberFormat="1" applyFont="1" applyBorder="1" applyAlignment="1">
      <alignment/>
    </xf>
    <xf numFmtId="0" fontId="10" fillId="0" borderId="3" xfId="0" applyFont="1" applyBorder="1" applyAlignment="1">
      <alignment/>
    </xf>
    <xf numFmtId="0" fontId="5" fillId="0" borderId="0" xfId="0" applyFont="1" applyBorder="1" applyAlignment="1">
      <alignment/>
    </xf>
    <xf numFmtId="0" fontId="5" fillId="0" borderId="4" xfId="0" applyFont="1" applyBorder="1" applyAlignment="1">
      <alignment/>
    </xf>
    <xf numFmtId="0" fontId="5" fillId="0" borderId="5" xfId="0" applyFont="1" applyBorder="1" applyAlignment="1">
      <alignment/>
    </xf>
    <xf numFmtId="178" fontId="8" fillId="0" borderId="16" xfId="0" applyNumberFormat="1" applyFont="1" applyBorder="1" applyAlignment="1">
      <alignment/>
    </xf>
    <xf numFmtId="0" fontId="5" fillId="0" borderId="16" xfId="0" applyFont="1" applyBorder="1" applyAlignment="1">
      <alignment/>
    </xf>
    <xf numFmtId="0" fontId="5" fillId="0" borderId="13" xfId="0" applyFont="1" applyBorder="1" applyAlignment="1">
      <alignment/>
    </xf>
    <xf numFmtId="171" fontId="5" fillId="3" borderId="0" xfId="0" applyNumberFormat="1" applyFont="1" applyFill="1" applyAlignment="1">
      <alignment/>
    </xf>
    <xf numFmtId="171" fontId="0" fillId="3" borderId="6" xfId="0" applyNumberFormat="1" applyFill="1" applyBorder="1" applyAlignment="1" applyProtection="1">
      <alignment/>
      <protection locked="0"/>
    </xf>
    <xf numFmtId="2" fontId="0" fillId="3" borderId="6" xfId="0" applyNumberFormat="1" applyFill="1" applyBorder="1" applyAlignment="1" applyProtection="1">
      <alignment/>
      <protection locked="0"/>
    </xf>
    <xf numFmtId="2" fontId="5" fillId="3" borderId="0" xfId="0" applyNumberFormat="1" applyFont="1" applyFill="1" applyAlignment="1">
      <alignment/>
    </xf>
    <xf numFmtId="0" fontId="13" fillId="0" borderId="0" xfId="0" applyFont="1" applyAlignment="1">
      <alignment/>
    </xf>
    <xf numFmtId="0" fontId="5" fillId="0" borderId="0" xfId="0" applyFont="1" applyAlignment="1">
      <alignment horizontal="center"/>
    </xf>
    <xf numFmtId="0" fontId="3" fillId="4" borderId="9"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right"/>
      <protection locked="0"/>
    </xf>
    <xf numFmtId="0" fontId="3" fillId="0" borderId="19" xfId="0" applyFont="1" applyFill="1" applyBorder="1" applyAlignment="1" applyProtection="1">
      <alignment horizontal="right"/>
      <protection locked="0"/>
    </xf>
    <xf numFmtId="191" fontId="3" fillId="0" borderId="19" xfId="17" applyNumberFormat="1" applyFont="1" applyFill="1" applyBorder="1" applyAlignment="1" applyProtection="1">
      <alignment horizontal="left"/>
      <protection locked="0"/>
    </xf>
    <xf numFmtId="191" fontId="3" fillId="0" borderId="20" xfId="17" applyNumberFormat="1" applyFont="1" applyFill="1" applyBorder="1" applyAlignment="1" applyProtection="1">
      <alignment horizontal="left"/>
      <protection locked="0"/>
    </xf>
    <xf numFmtId="0" fontId="2" fillId="0" borderId="0" xfId="0" applyFont="1" applyAlignment="1">
      <alignment horizontal="left" vertical="center" wrapText="1"/>
    </xf>
    <xf numFmtId="188" fontId="15" fillId="0" borderId="0" xfId="0" applyNumberFormat="1" applyFont="1" applyAlignment="1">
      <alignment/>
    </xf>
    <xf numFmtId="0" fontId="15" fillId="0" borderId="0" xfId="0" applyFont="1" applyAlignment="1">
      <alignment/>
    </xf>
    <xf numFmtId="188" fontId="16" fillId="0" borderId="0" xfId="0" applyNumberFormat="1" applyFont="1" applyAlignment="1">
      <alignment/>
    </xf>
    <xf numFmtId="43" fontId="5" fillId="0" borderId="0" xfId="15" applyFont="1" applyAlignment="1">
      <alignment/>
    </xf>
    <xf numFmtId="43" fontId="15" fillId="0" borderId="0" xfId="0" applyNumberFormat="1" applyFont="1" applyAlignment="1">
      <alignment/>
    </xf>
    <xf numFmtId="43" fontId="5" fillId="0" borderId="0" xfId="15" applyFon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36</xdr:row>
      <xdr:rowOff>152400</xdr:rowOff>
    </xdr:from>
    <xdr:to>
      <xdr:col>1</xdr:col>
      <xdr:colOff>28575</xdr:colOff>
      <xdr:row>44</xdr:row>
      <xdr:rowOff>76200</xdr:rowOff>
    </xdr:to>
    <xdr:sp>
      <xdr:nvSpPr>
        <xdr:cNvPr id="1" name="AutoShape 1"/>
        <xdr:cNvSpPr>
          <a:spLocks/>
        </xdr:cNvSpPr>
      </xdr:nvSpPr>
      <xdr:spPr>
        <a:xfrm>
          <a:off x="762000" y="10639425"/>
          <a:ext cx="152400" cy="1447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191</xdr:row>
      <xdr:rowOff>19050</xdr:rowOff>
    </xdr:from>
    <xdr:to>
      <xdr:col>8</xdr:col>
      <xdr:colOff>9525</xdr:colOff>
      <xdr:row>203</xdr:row>
      <xdr:rowOff>76200</xdr:rowOff>
    </xdr:to>
    <xdr:sp>
      <xdr:nvSpPr>
        <xdr:cNvPr id="2" name="Line 2"/>
        <xdr:cNvSpPr>
          <a:spLocks/>
        </xdr:cNvSpPr>
      </xdr:nvSpPr>
      <xdr:spPr>
        <a:xfrm flipV="1">
          <a:off x="2181225" y="52082700"/>
          <a:ext cx="6543675" cy="26289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145"/>
  <sheetViews>
    <sheetView zoomScale="60" zoomScaleNormal="60" workbookViewId="0" topLeftCell="H61">
      <selection activeCell="I72" sqref="I72:I80"/>
    </sheetView>
  </sheetViews>
  <sheetFormatPr defaultColWidth="9.140625" defaultRowHeight="12.75"/>
  <cols>
    <col min="1" max="1" width="5.28125" style="5" bestFit="1" customWidth="1"/>
    <col min="2" max="2" width="11.7109375" style="6" customWidth="1"/>
    <col min="3" max="3" width="9.57421875" style="6" bestFit="1" customWidth="1"/>
    <col min="4" max="4" width="9.140625" style="6" bestFit="1" customWidth="1"/>
    <col min="5" max="5" width="9.57421875" style="6" bestFit="1" customWidth="1"/>
    <col min="6" max="6" width="12.421875" style="7" bestFit="1" customWidth="1"/>
    <col min="7" max="7" width="13.00390625" style="6" bestFit="1" customWidth="1"/>
    <col min="8" max="8" width="12.421875" style="6" bestFit="1" customWidth="1"/>
    <col min="9" max="9" width="11.8515625" style="6" bestFit="1" customWidth="1"/>
    <col min="10" max="10" width="12.421875" style="6" bestFit="1" customWidth="1"/>
    <col min="11" max="11" width="13.00390625" style="6" bestFit="1" customWidth="1"/>
    <col min="12" max="12" width="12.421875" style="0" bestFit="1" customWidth="1"/>
    <col min="13" max="13" width="12.00390625" style="0" bestFit="1" customWidth="1"/>
    <col min="14" max="14" width="11.8515625" style="6" bestFit="1" customWidth="1"/>
    <col min="15" max="15" width="13.421875" style="6" bestFit="1" customWidth="1"/>
    <col min="16" max="16" width="12.7109375" style="6" bestFit="1" customWidth="1"/>
    <col min="17" max="17" width="11.140625" style="6" bestFit="1" customWidth="1"/>
    <col min="18" max="18" width="10.8515625" style="6" bestFit="1" customWidth="1"/>
    <col min="19" max="20" width="11.57421875" style="6" bestFit="1" customWidth="1"/>
    <col min="21" max="22" width="11.7109375" style="6" customWidth="1"/>
    <col min="23" max="25" width="10.7109375" style="6" customWidth="1"/>
    <col min="26" max="26" width="9.140625" style="6" customWidth="1"/>
    <col min="27" max="27" width="11.57421875" style="6" customWidth="1"/>
    <col min="28" max="29" width="9.8515625" style="6" customWidth="1"/>
    <col min="30" max="30" width="10.28125" style="5" customWidth="1"/>
    <col min="31" max="31" width="9.140625" style="6" customWidth="1"/>
    <col min="32" max="32" width="1.7109375" style="6" bestFit="1" customWidth="1"/>
    <col min="33" max="33" width="11.421875" style="54" customWidth="1"/>
    <col min="34" max="34" width="10.28125" style="6" customWidth="1"/>
    <col min="35" max="35" width="4.7109375" style="6" customWidth="1"/>
    <col min="36" max="36" width="12.00390625" style="6" customWidth="1"/>
    <col min="37" max="37" width="9.7109375" style="52" customWidth="1"/>
    <col min="38" max="38" width="10.28125" style="52" customWidth="1"/>
    <col min="39" max="39" width="0" style="7" hidden="1" customWidth="1"/>
    <col min="40" max="41" width="0" style="6" hidden="1" customWidth="1"/>
    <col min="42" max="42" width="11.421875" style="0" customWidth="1"/>
    <col min="43" max="43" width="12.00390625" style="0" customWidth="1"/>
    <col min="44" max="44" width="13.140625" style="0" customWidth="1"/>
    <col min="45" max="45" width="10.140625" style="0" customWidth="1"/>
    <col min="46" max="46" width="11.00390625" style="0" customWidth="1"/>
    <col min="47" max="47" width="11.57421875" style="0" customWidth="1"/>
    <col min="48" max="48" width="13.00390625" style="0" customWidth="1"/>
    <col min="49" max="49" width="12.28125" style="0" customWidth="1"/>
    <col min="50" max="50" width="9.28125" style="0" customWidth="1"/>
    <col min="53" max="53" width="12.8515625" style="0" customWidth="1"/>
    <col min="54" max="54" width="11.8515625" style="0" customWidth="1"/>
    <col min="55" max="55" width="13.140625" style="0" customWidth="1"/>
    <col min="56" max="60" width="15.421875" style="6" customWidth="1"/>
    <col min="61" max="61" width="11.8515625" style="6" customWidth="1"/>
    <col min="62" max="62" width="12.00390625" style="6" customWidth="1"/>
    <col min="63" max="82" width="15.421875" style="6" customWidth="1"/>
    <col min="83" max="83" width="17.00390625" style="6" customWidth="1"/>
    <col min="84" max="255" width="15.421875" style="6" customWidth="1"/>
    <col min="256" max="16384" width="9.140625" style="6" customWidth="1"/>
  </cols>
  <sheetData>
    <row r="1" spans="8:41" ht="15.75" customHeight="1">
      <c r="H1"/>
      <c r="AF1" s="6" t="s">
        <v>11</v>
      </c>
      <c r="AG1"/>
      <c r="AH1"/>
      <c r="AI1"/>
      <c r="AJ1"/>
      <c r="AK1"/>
      <c r="AL1"/>
      <c r="AM1"/>
      <c r="AN1"/>
      <c r="AO1"/>
    </row>
    <row r="2" spans="2:68" ht="19.5" customHeight="1">
      <c r="B2" s="133" t="s">
        <v>12</v>
      </c>
      <c r="C2" s="134"/>
      <c r="D2" s="134"/>
      <c r="E2" s="134"/>
      <c r="F2" s="135"/>
      <c r="Y2"/>
      <c r="Z2"/>
      <c r="AA2"/>
      <c r="AB2"/>
      <c r="AC2"/>
      <c r="AD2"/>
      <c r="AE2"/>
      <c r="AF2"/>
      <c r="AG2"/>
      <c r="AH2"/>
      <c r="AI2"/>
      <c r="AJ2"/>
      <c r="AK2"/>
      <c r="AL2"/>
      <c r="AM2"/>
      <c r="AN2"/>
      <c r="AO2"/>
      <c r="BD2"/>
      <c r="BE2"/>
      <c r="BF2"/>
      <c r="BG2"/>
      <c r="BH2"/>
      <c r="BI2"/>
      <c r="BJ2"/>
      <c r="BK2"/>
      <c r="BL2"/>
      <c r="BM2"/>
      <c r="BN2"/>
      <c r="BO2"/>
      <c r="BP2"/>
    </row>
    <row r="3" spans="3:68" ht="12.75">
      <c r="C3"/>
      <c r="D3"/>
      <c r="N3"/>
      <c r="O3"/>
      <c r="P3"/>
      <c r="Q3"/>
      <c r="AD3"/>
      <c r="AE3"/>
      <c r="AF3"/>
      <c r="AG3"/>
      <c r="AH3"/>
      <c r="AI3"/>
      <c r="AJ3"/>
      <c r="AK3"/>
      <c r="AL3"/>
      <c r="AM3"/>
      <c r="AN3"/>
      <c r="AO3"/>
      <c r="BD3"/>
      <c r="BE3"/>
      <c r="BF3"/>
      <c r="BG3"/>
      <c r="BH3"/>
      <c r="BI3"/>
      <c r="BJ3"/>
      <c r="BK3"/>
      <c r="BL3"/>
      <c r="BM3"/>
      <c r="BN3"/>
      <c r="BO3"/>
      <c r="BP3"/>
    </row>
    <row r="4" spans="2:68" ht="13.5" thickBot="1">
      <c r="B4"/>
      <c r="C4"/>
      <c r="D4"/>
      <c r="E4"/>
      <c r="F4" s="11" t="s">
        <v>45</v>
      </c>
      <c r="G4" s="11" t="s">
        <v>79</v>
      </c>
      <c r="H4" s="11" t="s">
        <v>83</v>
      </c>
      <c r="I4" s="11" t="s">
        <v>88</v>
      </c>
      <c r="J4" s="11" t="s">
        <v>48</v>
      </c>
      <c r="K4" s="13" t="s">
        <v>49</v>
      </c>
      <c r="L4" s="11" t="s">
        <v>50</v>
      </c>
      <c r="M4" s="11" t="s">
        <v>92</v>
      </c>
      <c r="N4" s="11" t="s">
        <v>143</v>
      </c>
      <c r="O4"/>
      <c r="P4"/>
      <c r="Q4"/>
      <c r="AE4"/>
      <c r="AF4"/>
      <c r="AG4"/>
      <c r="AH4"/>
      <c r="AI4"/>
      <c r="AJ4"/>
      <c r="AK4"/>
      <c r="AL4"/>
      <c r="AM4"/>
      <c r="AN4"/>
      <c r="AO4"/>
      <c r="BD4"/>
      <c r="BE4"/>
      <c r="BF4"/>
      <c r="BG4"/>
      <c r="BH4"/>
      <c r="BI4"/>
      <c r="BJ4"/>
      <c r="BK4"/>
      <c r="BL4"/>
      <c r="BM4"/>
      <c r="BN4"/>
      <c r="BO4"/>
      <c r="BP4"/>
    </row>
    <row r="5" spans="5:68" ht="13.5" thickBot="1">
      <c r="E5"/>
      <c r="F5" s="72">
        <f>LOOKUP($C$8,$A:$A,$O:$O)</f>
        <v>12920.513765128708</v>
      </c>
      <c r="G5" s="72">
        <f>LOOKUP($C$8+1,$A:$A,$O:$O)</f>
        <v>12343.74357892509</v>
      </c>
      <c r="H5" s="72">
        <f>LOOKUP($C$8+$C$9,$A:$A,$O:$O)</f>
        <v>10193.992554179971</v>
      </c>
      <c r="I5" s="72">
        <f>LOOKUP($C$8+$C$9+1,$A:$A,$O:$O)</f>
        <v>9693.377667001836</v>
      </c>
      <c r="J5" s="72">
        <f>LOOKUP($C$8+$C$11,$A:$A,$O:$O)</f>
        <v>12920.513765128708</v>
      </c>
      <c r="K5" s="72">
        <f>LOOKUP($C$8+$C$11+1,$A:$A,$O:$O)</f>
        <v>12343.74357892509</v>
      </c>
      <c r="L5" s="72">
        <f>LOOKUP($C$8+$C$10,$A:$A,$O:$O)</f>
        <v>11238.480451106583</v>
      </c>
      <c r="M5" s="72">
        <f>LOOKUP($C$8+$C$10+1,$A:$A,$O:$O)</f>
        <v>10708.923280733157</v>
      </c>
      <c r="N5" s="72">
        <f>LOOKUP($C$8+$C$9+$C$10,$A:$A,$O:$O)</f>
        <v>8733.303988473195</v>
      </c>
      <c r="AE5"/>
      <c r="AF5"/>
      <c r="AG5"/>
      <c r="AH5"/>
      <c r="AI5"/>
      <c r="AJ5"/>
      <c r="AK5"/>
      <c r="AL5"/>
      <c r="AM5"/>
      <c r="AN5"/>
      <c r="AO5"/>
      <c r="BD5"/>
      <c r="BE5"/>
      <c r="BF5"/>
      <c r="BG5"/>
      <c r="BH5"/>
      <c r="BI5"/>
      <c r="BJ5"/>
      <c r="BK5"/>
      <c r="BL5"/>
      <c r="BM5"/>
      <c r="BN5"/>
      <c r="BO5"/>
      <c r="BP5"/>
    </row>
    <row r="6" spans="2:68" ht="13.5" thickBot="1">
      <c r="B6" s="9" t="s">
        <v>13</v>
      </c>
      <c r="C6" s="10">
        <v>81</v>
      </c>
      <c r="E6"/>
      <c r="F6" s="11" t="s">
        <v>46</v>
      </c>
      <c r="G6" s="11" t="s">
        <v>80</v>
      </c>
      <c r="H6" s="11" t="s">
        <v>84</v>
      </c>
      <c r="I6" s="11" t="s">
        <v>89</v>
      </c>
      <c r="J6" s="11" t="s">
        <v>51</v>
      </c>
      <c r="K6" s="11" t="s">
        <v>52</v>
      </c>
      <c r="L6" s="11" t="s">
        <v>53</v>
      </c>
      <c r="M6" s="11" t="s">
        <v>117</v>
      </c>
      <c r="N6" s="11" t="s">
        <v>144</v>
      </c>
      <c r="AE6"/>
      <c r="AF6"/>
      <c r="AG6"/>
      <c r="AH6"/>
      <c r="AI6"/>
      <c r="AJ6"/>
      <c r="AK6"/>
      <c r="AL6"/>
      <c r="AM6"/>
      <c r="AN6"/>
      <c r="AO6"/>
      <c r="BD6"/>
      <c r="BE6"/>
      <c r="BF6"/>
      <c r="BG6"/>
      <c r="BH6"/>
      <c r="BI6"/>
      <c r="BJ6"/>
      <c r="BK6"/>
      <c r="BL6"/>
      <c r="BM6"/>
      <c r="BN6"/>
      <c r="BO6"/>
      <c r="BP6"/>
    </row>
    <row r="7" spans="2:68" ht="13.5" thickBot="1">
      <c r="B7" s="12" t="s">
        <v>36</v>
      </c>
      <c r="C7" s="14">
        <v>0.04</v>
      </c>
      <c r="E7"/>
      <c r="F7" s="71">
        <f>LOOKUP($C$8,$A:$A,$P:$P)</f>
        <v>200143.2068267842</v>
      </c>
      <c r="G7" s="71">
        <f>LOOKUP($C$8+1,$A:$A,$P:$P)</f>
        <v>187222.69306165553</v>
      </c>
      <c r="H7" s="71">
        <f>LOOKUP($C$8+$C$9,$A:$A,$P:$P)</f>
        <v>141148.16518395947</v>
      </c>
      <c r="I7" s="71">
        <f>LOOKUP($C$8+$C$9+1,$A:$A,$P:$P)</f>
        <v>130954.17262977955</v>
      </c>
      <c r="J7" s="71">
        <f>LOOKUP($C$8+$C$11,$A:$A,$P:$P)</f>
        <v>200143.2068267842</v>
      </c>
      <c r="K7" s="71">
        <f>LOOKUP($C$8+$C$11+1,$A:$A,$P:$P)</f>
        <v>187222.69306165553</v>
      </c>
      <c r="L7" s="71">
        <f>LOOKUP($C$8+$C$10,$A:$A,$P:$P)</f>
        <v>163095.56891579923</v>
      </c>
      <c r="M7" s="71">
        <f>LOOKUP($C$8+$C$10+1,$A:$A,$P:$P)</f>
        <v>151857.08846469267</v>
      </c>
      <c r="N7" s="71">
        <f>LOOKUP($C$8+$C$9+$C$10,$A:$A,$P:$P)</f>
        <v>112054.65463827684</v>
      </c>
      <c r="O7"/>
      <c r="P7"/>
      <c r="Q7"/>
      <c r="AE7"/>
      <c r="AF7"/>
      <c r="AG7"/>
      <c r="AH7"/>
      <c r="AI7"/>
      <c r="AJ7"/>
      <c r="AK7"/>
      <c r="AL7"/>
      <c r="AM7"/>
      <c r="AN7"/>
      <c r="AO7"/>
      <c r="BD7"/>
      <c r="BE7"/>
      <c r="BF7"/>
      <c r="BG7"/>
      <c r="BH7"/>
      <c r="BI7"/>
      <c r="BJ7"/>
      <c r="BK7"/>
      <c r="BL7"/>
      <c r="BM7"/>
      <c r="BN7"/>
      <c r="BO7"/>
      <c r="BP7"/>
    </row>
    <row r="8" spans="2:68" ht="13.5" thickBot="1">
      <c r="B8" s="12" t="s">
        <v>37</v>
      </c>
      <c r="C8" s="14">
        <v>50</v>
      </c>
      <c r="E8"/>
      <c r="F8" s="11" t="s">
        <v>93</v>
      </c>
      <c r="G8" s="11" t="s">
        <v>94</v>
      </c>
      <c r="H8" s="11" t="s">
        <v>95</v>
      </c>
      <c r="I8" s="11" t="s">
        <v>96</v>
      </c>
      <c r="J8" s="11" t="s">
        <v>97</v>
      </c>
      <c r="K8" s="11" t="s">
        <v>98</v>
      </c>
      <c r="L8" s="11" t="s">
        <v>99</v>
      </c>
      <c r="M8" s="11" t="s">
        <v>118</v>
      </c>
      <c r="N8" s="11" t="s">
        <v>145</v>
      </c>
      <c r="O8"/>
      <c r="P8"/>
      <c r="Q8"/>
      <c r="AE8"/>
      <c r="AF8"/>
      <c r="AG8"/>
      <c r="AH8"/>
      <c r="AI8"/>
      <c r="AJ8"/>
      <c r="AK8"/>
      <c r="AL8"/>
      <c r="AM8"/>
      <c r="AN8"/>
      <c r="AO8"/>
      <c r="BD8"/>
      <c r="BE8"/>
      <c r="BF8"/>
      <c r="BG8"/>
      <c r="BH8"/>
      <c r="BI8"/>
      <c r="BJ8"/>
      <c r="BK8"/>
      <c r="BL8"/>
      <c r="BM8"/>
      <c r="BN8"/>
      <c r="BO8"/>
      <c r="BP8"/>
    </row>
    <row r="9" spans="2:68" ht="13.5" thickBot="1">
      <c r="B9" s="12" t="s">
        <v>38</v>
      </c>
      <c r="C9" s="14">
        <v>5</v>
      </c>
      <c r="E9"/>
      <c r="F9" s="74">
        <f>LOOKUP($C$8,$A:$A,$Q:$Q)</f>
        <v>2368539.3765864936</v>
      </c>
      <c r="G9" s="74">
        <f>LOOKUP($C$8+1,$A:$A,$Q:$Q)</f>
        <v>2168396.1697597103</v>
      </c>
      <c r="H9" s="74">
        <f>LOOKUP($C$8+$C$9,$A:$A,$Q:$Q)</f>
        <v>1491341.8698348338</v>
      </c>
      <c r="I9" s="74">
        <f>LOOKUP($C$8+$C$9+1,$A:$A,$Q:$Q)</f>
        <v>1350193.7046508742</v>
      </c>
      <c r="J9" s="74">
        <f>LOOKUP($C$8+$C$11,$A:$A,$Q:$Q)</f>
        <v>2368539.3765864936</v>
      </c>
      <c r="K9" s="74">
        <f>LOOKUP($C$8+$C$11+1,$A:$A,$Q:$Q)</f>
        <v>2168396.1697597103</v>
      </c>
      <c r="L9" s="74">
        <f>LOOKUP($C$8+$C$10,$A:$A,$Q:$Q)</f>
        <v>1806294.5272153257</v>
      </c>
      <c r="M9" s="74">
        <f>LOOKUP($C$8+$C$10+1,$A:$A,$Q:$Q)</f>
        <v>1643198.9582995265</v>
      </c>
      <c r="N9" s="74">
        <f>LOOKUP($C$8+$C$9+$C$10,$A:$A,$Q:$Q)</f>
        <v>1097978.737058317</v>
      </c>
      <c r="O9"/>
      <c r="P9"/>
      <c r="Q9"/>
      <c r="AE9"/>
      <c r="AF9"/>
      <c r="AG9"/>
      <c r="AH9"/>
      <c r="AI9"/>
      <c r="AJ9"/>
      <c r="AK9"/>
      <c r="AL9"/>
      <c r="AM9"/>
      <c r="AN9"/>
      <c r="AO9"/>
      <c r="BD9"/>
      <c r="BE9"/>
      <c r="BF9"/>
      <c r="BG9"/>
      <c r="BH9"/>
      <c r="BI9"/>
      <c r="BJ9"/>
      <c r="BK9"/>
      <c r="BL9"/>
      <c r="BM9"/>
      <c r="BN9"/>
      <c r="BO9"/>
      <c r="BP9"/>
    </row>
    <row r="10" spans="2:68" ht="13.5" thickBot="1">
      <c r="B10" s="12" t="s">
        <v>39</v>
      </c>
      <c r="C10" s="14">
        <v>3</v>
      </c>
      <c r="E10"/>
      <c r="F10" s="11" t="s">
        <v>100</v>
      </c>
      <c r="G10" s="11" t="s">
        <v>101</v>
      </c>
      <c r="H10" s="11" t="s">
        <v>102</v>
      </c>
      <c r="I10" s="11" t="s">
        <v>103</v>
      </c>
      <c r="J10" s="11" t="s">
        <v>104</v>
      </c>
      <c r="K10" s="11" t="s">
        <v>105</v>
      </c>
      <c r="L10" s="11" t="s">
        <v>106</v>
      </c>
      <c r="M10" s="11" t="s">
        <v>107</v>
      </c>
      <c r="N10" s="11" t="s">
        <v>146</v>
      </c>
      <c r="O10"/>
      <c r="P10"/>
      <c r="Q10"/>
      <c r="AE10"/>
      <c r="AF10"/>
      <c r="AG10"/>
      <c r="AH10"/>
      <c r="AI10"/>
      <c r="AJ10"/>
      <c r="AK10"/>
      <c r="AL10"/>
      <c r="AM10"/>
      <c r="AN10"/>
      <c r="AO10"/>
      <c r="BD10"/>
      <c r="BE10"/>
      <c r="BF10"/>
      <c r="BG10"/>
      <c r="BH10"/>
      <c r="BI10"/>
      <c r="BJ10"/>
      <c r="BK10"/>
      <c r="BL10"/>
      <c r="BM10"/>
      <c r="BN10"/>
      <c r="BO10"/>
      <c r="BP10"/>
    </row>
    <row r="11" spans="2:68" ht="13.5" thickBot="1">
      <c r="B11" s="17" t="s">
        <v>40</v>
      </c>
      <c r="C11" s="58">
        <v>0</v>
      </c>
      <c r="E11"/>
      <c r="F11" s="72">
        <f>LOOKUP($C$8,$A:$A,$R:$R)</f>
        <v>79.82734908328003</v>
      </c>
      <c r="G11" s="72">
        <f>LOOKUP($C$8+1,$A:$A,$R:$R)</f>
        <v>85.60364357366079</v>
      </c>
      <c r="H11" s="72">
        <f>LOOKUP($C$8+$C$9,$A:$A,$R:$R)</f>
        <v>108.53825047890544</v>
      </c>
      <c r="I11" s="72">
        <f>LOOKUP($C$8+$C$9+1,$A:$A,$R:$R)</f>
        <v>114.41512453935685</v>
      </c>
      <c r="J11" s="72">
        <f>LOOKUP($C$8+$C$11,$A:$A,$R:$R)</f>
        <v>79.82734908328003</v>
      </c>
      <c r="K11" s="72">
        <f>LOOKUP($C$8+$C$11+1,$A:$A,$R:$R)</f>
        <v>85.60364357366079</v>
      </c>
      <c r="L11" s="72">
        <f>LOOKUP($C$8+$C$10,$A:$A,$R:$R)</f>
        <v>97.30792225394379</v>
      </c>
      <c r="M11" s="72">
        <f>LOOKUP($C$8+$C$10+1,$A:$A,$R:$R)</f>
        <v>103.04906190960341</v>
      </c>
      <c r="N11" s="72">
        <f>LOOKUP($C$8+$C$9+$C$10,$A:$A,$R:$R)</f>
        <v>122.09557907124936</v>
      </c>
      <c r="O11"/>
      <c r="P11"/>
      <c r="Q11"/>
      <c r="S11" s="15"/>
      <c r="AE11"/>
      <c r="AF11"/>
      <c r="AG11"/>
      <c r="AH11"/>
      <c r="AI11"/>
      <c r="AJ11"/>
      <c r="AK11"/>
      <c r="AL11"/>
      <c r="AM11"/>
      <c r="AN11"/>
      <c r="AO11"/>
      <c r="BD11" s="16"/>
      <c r="BE11" s="16"/>
      <c r="BF11" s="16"/>
      <c r="BG11" s="16"/>
      <c r="BH11" s="16"/>
      <c r="BI11"/>
      <c r="BJ11"/>
      <c r="BK11"/>
      <c r="BL11"/>
      <c r="BM11"/>
      <c r="BN11"/>
      <c r="BO11"/>
      <c r="BP11"/>
    </row>
    <row r="12" spans="5:68" ht="13.5" thickBot="1">
      <c r="E12"/>
      <c r="F12" s="11" t="s">
        <v>41</v>
      </c>
      <c r="G12" s="11" t="s">
        <v>78</v>
      </c>
      <c r="H12" s="11" t="s">
        <v>82</v>
      </c>
      <c r="I12" s="11" t="s">
        <v>86</v>
      </c>
      <c r="J12" s="11" t="s">
        <v>42</v>
      </c>
      <c r="K12" s="11" t="s">
        <v>43</v>
      </c>
      <c r="L12" s="11" t="s">
        <v>44</v>
      </c>
      <c r="M12" s="11" t="s">
        <v>91</v>
      </c>
      <c r="N12" s="11" t="s">
        <v>147</v>
      </c>
      <c r="O12"/>
      <c r="P12"/>
      <c r="Q12"/>
      <c r="AE12"/>
      <c r="AF12"/>
      <c r="AG12"/>
      <c r="AH12"/>
      <c r="AI12"/>
      <c r="AJ12"/>
      <c r="AK12"/>
      <c r="AL12"/>
      <c r="AM12"/>
      <c r="AN12"/>
      <c r="AO12"/>
      <c r="BD12" s="16"/>
      <c r="BE12" s="16"/>
      <c r="BF12" s="16"/>
      <c r="BG12" s="16"/>
      <c r="BH12" s="16"/>
      <c r="BI12"/>
      <c r="BJ12"/>
      <c r="BK12"/>
      <c r="BL12"/>
      <c r="BM12"/>
      <c r="BN12"/>
      <c r="BO12"/>
      <c r="BP12"/>
    </row>
    <row r="13" spans="5:68" ht="13.5" thickBot="1">
      <c r="E13"/>
      <c r="F13" s="72">
        <f>LOOKUP($C$8,$A:$A,$S:$S)</f>
        <v>5222.698117944689</v>
      </c>
      <c r="G13" s="72">
        <f>LOOKUP($C$8+1,$A:$A,$S:$S)</f>
        <v>5142.870768861409</v>
      </c>
      <c r="H13" s="72">
        <f>LOOKUP($C$8+$C$9,$A:$A,$S:$S)</f>
        <v>4765.216970181521</v>
      </c>
      <c r="I13" s="72">
        <f>LOOKUP($C$8+$C$9+1,$A:$A,$S:$S)</f>
        <v>4656.678719702617</v>
      </c>
      <c r="J13" s="72">
        <f>LOOKUP($C$8+$C$11,$A:$A,$S:$S)</f>
        <v>5222.698117944689</v>
      </c>
      <c r="K13" s="72">
        <f>LOOKUP($C$8+$C$11+1,$A:$A,$S:$S)</f>
        <v>5142.870768861409</v>
      </c>
      <c r="L13" s="72">
        <f>LOOKUP($C$8+$C$10,$A:$A,$S:$S)</f>
        <v>4965.573954345069</v>
      </c>
      <c r="M13" s="72">
        <f>LOOKUP($C$8+$C$10+1,$A:$A,$S:$S)</f>
        <v>4868.266032091125</v>
      </c>
      <c r="N13" s="72">
        <f>LOOKUP($C$8+$C$9+$C$10,$A:$A,$S:$S)</f>
        <v>4423.509579308697</v>
      </c>
      <c r="O13"/>
      <c r="P13"/>
      <c r="Q13"/>
      <c r="AE13"/>
      <c r="AF13"/>
      <c r="AG13"/>
      <c r="AH13"/>
      <c r="AI13"/>
      <c r="AJ13"/>
      <c r="AK13"/>
      <c r="AL13"/>
      <c r="AM13"/>
      <c r="AN13"/>
      <c r="AO13"/>
      <c r="BD13" s="16"/>
      <c r="BE13" s="16"/>
      <c r="BF13" s="16"/>
      <c r="BG13" s="16"/>
      <c r="BH13" s="16"/>
      <c r="BI13"/>
      <c r="BJ13"/>
      <c r="BK13"/>
      <c r="BL13"/>
      <c r="BM13"/>
      <c r="BN13"/>
      <c r="BO13"/>
      <c r="BP13"/>
    </row>
    <row r="14" spans="5:68" ht="13.5" thickBot="1">
      <c r="E14"/>
      <c r="F14" s="11" t="s">
        <v>47</v>
      </c>
      <c r="G14" s="11" t="s">
        <v>81</v>
      </c>
      <c r="H14" s="11" t="s">
        <v>85</v>
      </c>
      <c r="I14" s="11" t="s">
        <v>90</v>
      </c>
      <c r="J14" s="11" t="s">
        <v>54</v>
      </c>
      <c r="K14" s="11" t="s">
        <v>55</v>
      </c>
      <c r="L14" s="11" t="s">
        <v>56</v>
      </c>
      <c r="M14" s="11" t="s">
        <v>108</v>
      </c>
      <c r="N14" s="11" t="s">
        <v>148</v>
      </c>
      <c r="O14"/>
      <c r="P14"/>
      <c r="Q14"/>
      <c r="AE14"/>
      <c r="AF14"/>
      <c r="AG14"/>
      <c r="AH14"/>
      <c r="AI14"/>
      <c r="AJ14"/>
      <c r="AK14"/>
      <c r="AL14"/>
      <c r="AM14"/>
      <c r="AN14"/>
      <c r="AO14"/>
      <c r="BD14" s="16"/>
      <c r="BE14" s="16"/>
      <c r="BF14" s="16"/>
      <c r="BG14" s="16"/>
      <c r="BH14" s="16"/>
      <c r="BI14"/>
      <c r="BJ14"/>
      <c r="BK14"/>
      <c r="BL14"/>
      <c r="BM14"/>
      <c r="BN14"/>
      <c r="BO14"/>
      <c r="BP14"/>
    </row>
    <row r="15" spans="5:68" ht="13.5" thickBot="1">
      <c r="E15"/>
      <c r="F15" s="71">
        <f>LOOKUP($C$8,$A:$A,$T:$T)</f>
        <v>109045.53849653433</v>
      </c>
      <c r="G15" s="71">
        <f>LOOKUP($C$8+1,$A:$A,$T:$T)</f>
        <v>103822.84037858964</v>
      </c>
      <c r="H15" s="71">
        <f>LOOKUP($C$8+$C$9,$A:$A,$T:$T)</f>
        <v>83788.8624980043</v>
      </c>
      <c r="I15" s="71">
        <f>LOOKUP($C$8+$C$9+1,$A:$A,$T:$T)</f>
        <v>79023.6455278228</v>
      </c>
      <c r="J15" s="71">
        <f>LOOKUP($C$8+$C$11,$A:$A,$T:$T)</f>
        <v>109045.53849653433</v>
      </c>
      <c r="K15" s="71">
        <f>LOOKUP($C$8+$C$11+1,$A:$A,$T:$T)</f>
        <v>103822.84037858964</v>
      </c>
      <c r="L15" s="71">
        <f>LOOKUP($C$8+$C$10,$A:$A,$T:$T)</f>
        <v>93622.7024844405</v>
      </c>
      <c r="M15" s="71">
        <f>LOOKUP($C$8+$C$10+1,$A:$A,$T:$T)</f>
        <v>88657.12853009542</v>
      </c>
      <c r="N15" s="71">
        <f>LOOKUP($C$8+$C$9+$C$10,$A:$A,$T:$T)</f>
        <v>69824.7032129569</v>
      </c>
      <c r="O15"/>
      <c r="P15"/>
      <c r="Q15"/>
      <c r="AE15"/>
      <c r="AF15"/>
      <c r="AG15"/>
      <c r="AH15"/>
      <c r="AI15"/>
      <c r="AJ15"/>
      <c r="AK15"/>
      <c r="AL15"/>
      <c r="AM15"/>
      <c r="AN15"/>
      <c r="AO15"/>
      <c r="BD15" s="16"/>
      <c r="BE15" s="16"/>
      <c r="BF15" s="16"/>
      <c r="BG15" s="16"/>
      <c r="BH15" s="16"/>
      <c r="BI15"/>
      <c r="BJ15"/>
      <c r="BK15"/>
      <c r="BL15"/>
      <c r="BM15"/>
      <c r="BN15"/>
      <c r="BO15"/>
      <c r="BP15"/>
    </row>
    <row r="16" spans="5:68" ht="12.75">
      <c r="E16"/>
      <c r="N16"/>
      <c r="O16"/>
      <c r="P16"/>
      <c r="Q16"/>
      <c r="AE16"/>
      <c r="AF16"/>
      <c r="AG16"/>
      <c r="AH16"/>
      <c r="AI16"/>
      <c r="AJ16"/>
      <c r="AK16"/>
      <c r="AL16"/>
      <c r="AM16"/>
      <c r="AN16"/>
      <c r="AO16"/>
      <c r="BD16" s="16"/>
      <c r="BE16" s="16"/>
      <c r="BF16" s="16"/>
      <c r="BG16" s="16"/>
      <c r="BH16" s="16"/>
      <c r="BI16"/>
      <c r="BJ16"/>
      <c r="BK16"/>
      <c r="BL16"/>
      <c r="BM16"/>
      <c r="BN16"/>
      <c r="BO16"/>
      <c r="BP16"/>
    </row>
    <row r="17" spans="5:68" ht="12.75">
      <c r="E17"/>
      <c r="N17"/>
      <c r="O17"/>
      <c r="P17"/>
      <c r="Q17"/>
      <c r="AE17"/>
      <c r="AF17"/>
      <c r="AG17"/>
      <c r="AH17"/>
      <c r="AI17"/>
      <c r="AJ17"/>
      <c r="AK17"/>
      <c r="AL17"/>
      <c r="AM17"/>
      <c r="AN17"/>
      <c r="AO17"/>
      <c r="BD17" s="16"/>
      <c r="BE17" s="16"/>
      <c r="BF17" s="16"/>
      <c r="BG17" s="16"/>
      <c r="BH17" s="16"/>
      <c r="BI17"/>
      <c r="BJ17"/>
      <c r="BK17"/>
      <c r="BL17"/>
      <c r="BM17"/>
      <c r="BN17"/>
      <c r="BO17"/>
      <c r="BP17"/>
    </row>
    <row r="18" spans="1:68" ht="12.75">
      <c r="A18" s="35"/>
      <c r="B18" s="35"/>
      <c r="C18" s="62"/>
      <c r="D18" s="24"/>
      <c r="E18"/>
      <c r="F18"/>
      <c r="O18"/>
      <c r="P18"/>
      <c r="Q18" s="75"/>
      <c r="R18"/>
      <c r="S18"/>
      <c r="T18" s="5"/>
      <c r="U18" s="5"/>
      <c r="V18"/>
      <c r="W18"/>
      <c r="X18"/>
      <c r="Y18"/>
      <c r="Z18"/>
      <c r="AA18"/>
      <c r="AB18"/>
      <c r="AC18"/>
      <c r="AD18"/>
      <c r="AE18"/>
      <c r="AF18"/>
      <c r="AG18" s="22"/>
      <c r="AH18" s="23"/>
      <c r="AI18"/>
      <c r="AJ18"/>
      <c r="AK18"/>
      <c r="AL18" s="16"/>
      <c r="AM18" s="16"/>
      <c r="AN18" s="16"/>
      <c r="AO18" s="16"/>
      <c r="BD18" s="18"/>
      <c r="BE18" s="18"/>
      <c r="BF18" s="19"/>
      <c r="BG18" s="20"/>
      <c r="BH18" s="21"/>
      <c r="BI18"/>
      <c r="BJ18"/>
      <c r="BK18"/>
      <c r="BL18"/>
      <c r="BM18"/>
      <c r="BN18"/>
      <c r="BO18"/>
      <c r="BP18"/>
    </row>
    <row r="19" spans="2:68" ht="13.5" thickBot="1">
      <c r="B19" s="24"/>
      <c r="C19" s="25"/>
      <c r="E19" s="26"/>
      <c r="F19" s="26"/>
      <c r="O19"/>
      <c r="P19"/>
      <c r="Q19" s="76"/>
      <c r="R19"/>
      <c r="S19"/>
      <c r="T19" s="5"/>
      <c r="U19" s="5"/>
      <c r="V19"/>
      <c r="W19"/>
      <c r="X19"/>
      <c r="Y19"/>
      <c r="Z19"/>
      <c r="AA19"/>
      <c r="AB19"/>
      <c r="AC19"/>
      <c r="AD19"/>
      <c r="AE19"/>
      <c r="AF19"/>
      <c r="AG19" s="22"/>
      <c r="AH19"/>
      <c r="AI19"/>
      <c r="AJ19"/>
      <c r="AK19"/>
      <c r="AL19" s="16"/>
      <c r="AM19" s="16"/>
      <c r="AN19" s="16"/>
      <c r="AO19" s="16"/>
      <c r="BD19" s="18"/>
      <c r="BE19" s="18"/>
      <c r="BF19" s="19"/>
      <c r="BG19" s="20"/>
      <c r="BH19" s="21"/>
      <c r="BI19"/>
      <c r="BJ19"/>
      <c r="BK19"/>
      <c r="BL19"/>
      <c r="BM19"/>
      <c r="BN19"/>
      <c r="BO19"/>
      <c r="BP19"/>
    </row>
    <row r="20" spans="2:68" ht="13.5" thickBot="1">
      <c r="B20"/>
      <c r="O20" s="136" t="s">
        <v>109</v>
      </c>
      <c r="P20" s="137"/>
      <c r="Q20" s="137"/>
      <c r="R20" s="138">
        <f>C7</f>
        <v>0.04</v>
      </c>
      <c r="S20" s="138"/>
      <c r="T20" s="139"/>
      <c r="V20"/>
      <c r="W20"/>
      <c r="X20"/>
      <c r="Y20"/>
      <c r="Z20"/>
      <c r="AA20"/>
      <c r="AB20"/>
      <c r="AC20"/>
      <c r="AD20"/>
      <c r="AE20"/>
      <c r="AF20"/>
      <c r="AG20"/>
      <c r="AH20" s="27"/>
      <c r="AI20"/>
      <c r="AJ20"/>
      <c r="AK20"/>
      <c r="AL20" s="16"/>
      <c r="AM20" s="16"/>
      <c r="AN20" s="16"/>
      <c r="AO20" s="16"/>
      <c r="BD20" s="18"/>
      <c r="BE20" s="18"/>
      <c r="BF20" s="19"/>
      <c r="BG20" s="20"/>
      <c r="BH20" s="21"/>
      <c r="BI20"/>
      <c r="BJ20"/>
      <c r="BK20"/>
      <c r="BL20"/>
      <c r="BM20"/>
      <c r="BN20"/>
      <c r="BO20"/>
      <c r="BP20"/>
    </row>
    <row r="21" spans="1:68" ht="14.25" customHeight="1">
      <c r="A21" s="28" t="s">
        <v>20</v>
      </c>
      <c r="B21" s="29" t="s">
        <v>21</v>
      </c>
      <c r="C21" s="30" t="s">
        <v>22</v>
      </c>
      <c r="D21" s="29" t="s">
        <v>23</v>
      </c>
      <c r="E21" s="31" t="s">
        <v>24</v>
      </c>
      <c r="F21" s="29" t="s">
        <v>25</v>
      </c>
      <c r="G21" s="30" t="s">
        <v>26</v>
      </c>
      <c r="H21" s="29" t="s">
        <v>27</v>
      </c>
      <c r="I21" s="30" t="s">
        <v>28</v>
      </c>
      <c r="J21" s="29" t="s">
        <v>29</v>
      </c>
      <c r="K21" s="30" t="s">
        <v>30</v>
      </c>
      <c r="L21" s="28" t="s">
        <v>20</v>
      </c>
      <c r="M21" s="32" t="s">
        <v>31</v>
      </c>
      <c r="N21" s="33" t="s">
        <v>32</v>
      </c>
      <c r="O21" s="34" t="s">
        <v>15</v>
      </c>
      <c r="P21" s="34" t="s">
        <v>16</v>
      </c>
      <c r="Q21" s="34" t="s">
        <v>87</v>
      </c>
      <c r="R21" s="34" t="s">
        <v>33</v>
      </c>
      <c r="S21" s="34" t="s">
        <v>14</v>
      </c>
      <c r="T21" s="34" t="s">
        <v>17</v>
      </c>
      <c r="U21" s="35"/>
      <c r="V21"/>
      <c r="W21"/>
      <c r="X21"/>
      <c r="Y21"/>
      <c r="Z21"/>
      <c r="AA21"/>
      <c r="AB21"/>
      <c r="AE21"/>
      <c r="AF21"/>
      <c r="AG21"/>
      <c r="AH21"/>
      <c r="AI21"/>
      <c r="AJ21"/>
      <c r="AK21"/>
      <c r="AL21" s="16"/>
      <c r="AM21" s="16"/>
      <c r="AN21" s="16"/>
      <c r="AO21" s="16"/>
      <c r="BD21" s="18"/>
      <c r="BE21" s="18"/>
      <c r="BF21" s="19"/>
      <c r="BG21" s="20"/>
      <c r="BH21" s="21"/>
      <c r="BI21"/>
      <c r="BJ21"/>
      <c r="BK21"/>
      <c r="BL21"/>
      <c r="BM21"/>
      <c r="BN21"/>
      <c r="BO21"/>
      <c r="BP21"/>
    </row>
    <row r="22" spans="1:68" ht="12.75">
      <c r="A22" s="36">
        <v>0</v>
      </c>
      <c r="B22" s="19">
        <v>6753</v>
      </c>
      <c r="C22" s="37">
        <v>100000</v>
      </c>
      <c r="D22" s="38">
        <v>4573</v>
      </c>
      <c r="E22">
        <v>100000</v>
      </c>
      <c r="F22" s="39">
        <v>3080</v>
      </c>
      <c r="G22" s="40">
        <v>100000</v>
      </c>
      <c r="H22" s="41">
        <v>1533</v>
      </c>
      <c r="I22" s="37">
        <v>100000</v>
      </c>
      <c r="J22" s="42">
        <v>879</v>
      </c>
      <c r="K22" s="43">
        <v>100000</v>
      </c>
      <c r="L22" s="36">
        <v>0</v>
      </c>
      <c r="M22" s="44">
        <f aca="true" t="shared" si="0" ref="M22:M53">IF($C$6=71,F22,IF($C$6=81,H22,IF($C$6=51,B22,IF($C$6=61,D22,IF($C$6=92,J22)))))</f>
        <v>1533</v>
      </c>
      <c r="N22" s="44">
        <f aca="true" t="shared" si="1" ref="N22:N53">IF($C$6=71,G22,IF($C$6=81,I22,IF($C$6=51,C22,IF($C$6=61,E22,IF($C$6=92,K22)))))</f>
        <v>100000</v>
      </c>
      <c r="O22" s="60">
        <f aca="true" t="shared" si="2" ref="O22:O53">((1+$C$7)^-A22)*IF($C$6=71,G22,IF($C$6=81,I22,IF($C$6=51,C22,IF($C$6=61,E22,IF($C$6=92,K22)))))</f>
        <v>100000</v>
      </c>
      <c r="P22" s="59">
        <f>SUM(O22:$O$131)</f>
        <v>2377715.7298727124</v>
      </c>
      <c r="Q22" s="73">
        <f>SUM(P22:P$131)</f>
        <v>50785764.67339715</v>
      </c>
      <c r="R22" s="60">
        <f aca="true" t="shared" si="3" ref="R22:R53">((1+$C$7)^-(A22+1))*IF($C$6=71,F22,IF($C$6=81,H22,IF($C$6=51,B22,IF($C$6=61,D22,IF($C$6=92,J22)))))</f>
        <v>1474.0384615384614</v>
      </c>
      <c r="S22" s="61">
        <f>SUM(R22:$R$131)</f>
        <v>8549.395004895587</v>
      </c>
      <c r="T22" s="59">
        <f>SUM(S22:$S$131)</f>
        <v>424417.08858820295</v>
      </c>
      <c r="U22" s="24"/>
      <c r="V22"/>
      <c r="W22"/>
      <c r="X22"/>
      <c r="Y22"/>
      <c r="Z22"/>
      <c r="AA22"/>
      <c r="AB22"/>
      <c r="AE22"/>
      <c r="AF22"/>
      <c r="AG22"/>
      <c r="AH22"/>
      <c r="AI22"/>
      <c r="AJ22"/>
      <c r="AK22"/>
      <c r="AL22" s="16"/>
      <c r="AM22" s="16"/>
      <c r="AN22" s="16"/>
      <c r="AO22" s="16"/>
      <c r="BD22" s="18"/>
      <c r="BE22" s="18"/>
      <c r="BF22" s="19"/>
      <c r="BG22" s="20"/>
      <c r="BH22" s="21"/>
      <c r="BI22"/>
      <c r="BJ22"/>
      <c r="BK22"/>
      <c r="BL22"/>
      <c r="BM22"/>
      <c r="BN22"/>
      <c r="BO22"/>
      <c r="BP22"/>
    </row>
    <row r="23" spans="1:68" ht="12.75">
      <c r="A23" s="36">
        <f aca="true" t="shared" si="4" ref="A23:A86">A22+1</f>
        <v>1</v>
      </c>
      <c r="B23" s="19">
        <v>955</v>
      </c>
      <c r="C23" s="37">
        <f aca="true" t="shared" si="5" ref="C23:C86">C22-B22</f>
        <v>93247</v>
      </c>
      <c r="D23" s="38">
        <v>375</v>
      </c>
      <c r="E23">
        <f aca="true" t="shared" si="6" ref="E23:E86">E22-D22</f>
        <v>95427</v>
      </c>
      <c r="F23" s="39">
        <v>150</v>
      </c>
      <c r="G23" s="40">
        <f aca="true" t="shared" si="7" ref="G23:G86">G22-F22</f>
        <v>96920</v>
      </c>
      <c r="H23" s="41">
        <v>76</v>
      </c>
      <c r="I23" s="37">
        <f aca="true" t="shared" si="8" ref="I23:I86">I22-H22</f>
        <v>98467</v>
      </c>
      <c r="J23" s="19">
        <v>46</v>
      </c>
      <c r="K23" s="45">
        <f>K22-J22</f>
        <v>99121</v>
      </c>
      <c r="L23" s="36">
        <f aca="true" t="shared" si="9" ref="L23:L86">L22+1</f>
        <v>1</v>
      </c>
      <c r="M23" s="44">
        <f t="shared" si="0"/>
        <v>76</v>
      </c>
      <c r="N23" s="44">
        <f t="shared" si="1"/>
        <v>98467</v>
      </c>
      <c r="O23" s="61">
        <f t="shared" si="2"/>
        <v>94679.80769230769</v>
      </c>
      <c r="P23" s="59">
        <f>SUM(O23:$O$131)</f>
        <v>2277715.7298727124</v>
      </c>
      <c r="Q23" s="73">
        <f>SUM(P23:P$131)</f>
        <v>48408048.94352445</v>
      </c>
      <c r="R23" s="61">
        <f t="shared" si="3"/>
        <v>70.26627218934911</v>
      </c>
      <c r="S23" s="61">
        <f>SUM(R23:$R$131)</f>
        <v>7075.35654335713</v>
      </c>
      <c r="T23" s="59">
        <f>SUM(S23:$S$131)</f>
        <v>415867.6935833073</v>
      </c>
      <c r="U23" s="24"/>
      <c r="V23"/>
      <c r="W23"/>
      <c r="X23"/>
      <c r="Y23"/>
      <c r="Z23"/>
      <c r="AA23"/>
      <c r="AB23"/>
      <c r="AE23"/>
      <c r="AF23"/>
      <c r="AG23"/>
      <c r="AH23"/>
      <c r="AI23"/>
      <c r="AJ23"/>
      <c r="AK23"/>
      <c r="AL23" s="16"/>
      <c r="AM23" s="16"/>
      <c r="AN23" s="16"/>
      <c r="AO23" s="16"/>
      <c r="BD23" s="18"/>
      <c r="BE23" s="18"/>
      <c r="BF23" s="19"/>
      <c r="BG23" s="20"/>
      <c r="BH23" s="21"/>
      <c r="BI23"/>
      <c r="BJ23"/>
      <c r="BK23"/>
      <c r="BL23"/>
      <c r="BM23"/>
      <c r="BN23"/>
      <c r="BO23"/>
      <c r="BP23"/>
    </row>
    <row r="24" spans="1:68" ht="13.5" customHeight="1">
      <c r="A24" s="36">
        <f t="shared" si="4"/>
        <v>2</v>
      </c>
      <c r="B24" s="19">
        <v>327</v>
      </c>
      <c r="C24" s="37">
        <f t="shared" si="5"/>
        <v>92292</v>
      </c>
      <c r="D24" s="38">
        <v>167</v>
      </c>
      <c r="E24">
        <f t="shared" si="6"/>
        <v>95052</v>
      </c>
      <c r="F24" s="39">
        <v>94</v>
      </c>
      <c r="G24" s="40">
        <f t="shared" si="7"/>
        <v>96770</v>
      </c>
      <c r="H24" s="41">
        <v>52</v>
      </c>
      <c r="I24" s="37">
        <f t="shared" si="8"/>
        <v>98391</v>
      </c>
      <c r="J24" s="19">
        <v>33</v>
      </c>
      <c r="K24" s="45">
        <f aca="true" t="shared" si="10" ref="K24:K87">K23-J23</f>
        <v>99075</v>
      </c>
      <c r="L24" s="36">
        <f t="shared" si="9"/>
        <v>2</v>
      </c>
      <c r="M24" s="44">
        <f t="shared" si="0"/>
        <v>52</v>
      </c>
      <c r="N24" s="44">
        <f t="shared" si="1"/>
        <v>98391</v>
      </c>
      <c r="O24" s="61">
        <f t="shared" si="2"/>
        <v>90968.01035502958</v>
      </c>
      <c r="P24" s="59">
        <f>SUM(O24:$O$131)</f>
        <v>2183035.922180405</v>
      </c>
      <c r="Q24" s="73">
        <f>SUM(P24:P$131)</f>
        <v>46130333.21365174</v>
      </c>
      <c r="R24" s="61">
        <f t="shared" si="3"/>
        <v>46.22781065088758</v>
      </c>
      <c r="S24" s="61">
        <f>SUM(R24:$R$131)</f>
        <v>7005.090271167782</v>
      </c>
      <c r="T24" s="59">
        <f>SUM(S24:$S$131)</f>
        <v>408792.3370399502</v>
      </c>
      <c r="U24" s="24"/>
      <c r="V24"/>
      <c r="W24"/>
      <c r="X24"/>
      <c r="Y24"/>
      <c r="Z24"/>
      <c r="AA24"/>
      <c r="AB24"/>
      <c r="AE24"/>
      <c r="AF24"/>
      <c r="AG24"/>
      <c r="AH24"/>
      <c r="AI24"/>
      <c r="AJ24"/>
      <c r="AK24"/>
      <c r="AL24" s="16"/>
      <c r="AM24"/>
      <c r="AN24"/>
      <c r="AO24"/>
      <c r="BD24" s="18"/>
      <c r="BE24" s="18"/>
      <c r="BF24" s="19"/>
      <c r="BG24" s="20"/>
      <c r="BH24" s="21"/>
      <c r="BI24"/>
      <c r="BJ24"/>
      <c r="BK24"/>
      <c r="BL24"/>
      <c r="BM24"/>
      <c r="BN24"/>
      <c r="BO24"/>
      <c r="BP24"/>
    </row>
    <row r="25" spans="1:68" ht="12.75">
      <c r="A25" s="36">
        <f t="shared" si="4"/>
        <v>3</v>
      </c>
      <c r="B25" s="19">
        <v>193</v>
      </c>
      <c r="C25" s="37">
        <f t="shared" si="5"/>
        <v>91965</v>
      </c>
      <c r="D25" s="38">
        <v>114</v>
      </c>
      <c r="E25">
        <f t="shared" si="6"/>
        <v>94885</v>
      </c>
      <c r="F25" s="39">
        <v>66</v>
      </c>
      <c r="G25" s="40">
        <f t="shared" si="7"/>
        <v>96676</v>
      </c>
      <c r="H25" s="41">
        <v>39</v>
      </c>
      <c r="I25" s="37">
        <f t="shared" si="8"/>
        <v>98339</v>
      </c>
      <c r="J25" s="19">
        <v>25</v>
      </c>
      <c r="K25" s="45">
        <f t="shared" si="10"/>
        <v>99042</v>
      </c>
      <c r="L25" s="36">
        <f t="shared" si="9"/>
        <v>3</v>
      </c>
      <c r="M25" s="44">
        <f t="shared" si="0"/>
        <v>39</v>
      </c>
      <c r="N25" s="44">
        <f t="shared" si="1"/>
        <v>98339</v>
      </c>
      <c r="O25" s="61">
        <f t="shared" si="2"/>
        <v>87423.0129153391</v>
      </c>
      <c r="P25" s="59">
        <f>SUM(O25:$O$131)</f>
        <v>2092067.911825375</v>
      </c>
      <c r="Q25" s="73">
        <f>SUM(P25:P$131)</f>
        <v>43947297.29147133</v>
      </c>
      <c r="R25" s="61">
        <f t="shared" si="3"/>
        <v>33.3373634501593</v>
      </c>
      <c r="S25" s="61">
        <f>SUM(R25:$R$131)</f>
        <v>6958.8624605168925</v>
      </c>
      <c r="T25" s="59">
        <f>SUM(S25:$S$131)</f>
        <v>401787.2467687825</v>
      </c>
      <c r="U25" s="24"/>
      <c r="V25"/>
      <c r="W25"/>
      <c r="X25"/>
      <c r="Y25"/>
      <c r="Z25"/>
      <c r="AA25"/>
      <c r="AB25"/>
      <c r="AE25"/>
      <c r="AF25"/>
      <c r="AG25"/>
      <c r="AH25"/>
      <c r="AI25"/>
      <c r="AJ25"/>
      <c r="AK25"/>
      <c r="AL25" s="16"/>
      <c r="AM25"/>
      <c r="AN25"/>
      <c r="AO25"/>
      <c r="BD25" s="18"/>
      <c r="BE25" s="18"/>
      <c r="BF25" s="19"/>
      <c r="BG25" s="20"/>
      <c r="BH25" s="21"/>
      <c r="BI25"/>
      <c r="BJ25"/>
      <c r="BK25"/>
      <c r="BL25"/>
      <c r="BM25"/>
      <c r="BN25"/>
      <c r="BO25"/>
      <c r="BP25"/>
    </row>
    <row r="26" spans="1:68" ht="12.75">
      <c r="A26" s="36">
        <f t="shared" si="4"/>
        <v>4</v>
      </c>
      <c r="B26" s="19">
        <v>142</v>
      </c>
      <c r="C26" s="37">
        <f t="shared" si="5"/>
        <v>91772</v>
      </c>
      <c r="D26" s="38">
        <v>88</v>
      </c>
      <c r="E26">
        <f t="shared" si="6"/>
        <v>94771</v>
      </c>
      <c r="F26" s="39">
        <v>58</v>
      </c>
      <c r="G26" s="40">
        <f t="shared" si="7"/>
        <v>96610</v>
      </c>
      <c r="H26" s="41">
        <v>33</v>
      </c>
      <c r="I26" s="37">
        <f t="shared" si="8"/>
        <v>98300</v>
      </c>
      <c r="J26" s="19">
        <v>21</v>
      </c>
      <c r="K26" s="45">
        <f t="shared" si="10"/>
        <v>99017</v>
      </c>
      <c r="L26" s="36">
        <f t="shared" si="9"/>
        <v>4</v>
      </c>
      <c r="M26" s="44">
        <f t="shared" si="0"/>
        <v>33</v>
      </c>
      <c r="N26" s="44">
        <f t="shared" si="1"/>
        <v>98300</v>
      </c>
      <c r="O26" s="61">
        <f t="shared" si="2"/>
        <v>84027.25197822203</v>
      </c>
      <c r="P26" s="59">
        <f>SUM(O26:$O$131)</f>
        <v>2004644.8989100356</v>
      </c>
      <c r="Q26" s="73">
        <f>SUM(P26:P$131)</f>
        <v>41855229.379645966</v>
      </c>
      <c r="R26" s="61">
        <f t="shared" si="3"/>
        <v>27.1235945230586</v>
      </c>
      <c r="S26" s="61">
        <f>SUM(R26:$R$131)</f>
        <v>6925.525097066734</v>
      </c>
      <c r="T26" s="59">
        <f>SUM(S26:$S$131)</f>
        <v>394828.3843082655</v>
      </c>
      <c r="U26" s="24"/>
      <c r="V26"/>
      <c r="W26"/>
      <c r="X26"/>
      <c r="Y26"/>
      <c r="Z26"/>
      <c r="AA26"/>
      <c r="AB26"/>
      <c r="AE26"/>
      <c r="AF26"/>
      <c r="AG26"/>
      <c r="AH26"/>
      <c r="AI26"/>
      <c r="AJ26"/>
      <c r="AK26"/>
      <c r="AL26" s="16"/>
      <c r="AM26"/>
      <c r="AN26"/>
      <c r="AO26"/>
      <c r="BD26" s="18"/>
      <c r="BE26" s="18"/>
      <c r="BF26" s="19"/>
      <c r="BG26" s="20"/>
      <c r="BH26" s="21"/>
      <c r="BI26"/>
      <c r="BJ26"/>
      <c r="BK26"/>
      <c r="BL26"/>
      <c r="BM26"/>
      <c r="BN26"/>
      <c r="BO26"/>
      <c r="BP26"/>
    </row>
    <row r="27" spans="1:68" ht="12.75">
      <c r="A27" s="36">
        <f t="shared" si="4"/>
        <v>5</v>
      </c>
      <c r="B27" s="19">
        <v>114</v>
      </c>
      <c r="C27" s="37">
        <f t="shared" si="5"/>
        <v>91630</v>
      </c>
      <c r="D27" s="38">
        <v>77</v>
      </c>
      <c r="E27">
        <f t="shared" si="6"/>
        <v>94683</v>
      </c>
      <c r="F27" s="39">
        <v>56</v>
      </c>
      <c r="G27" s="40">
        <f t="shared" si="7"/>
        <v>96552</v>
      </c>
      <c r="H27" s="41">
        <v>32</v>
      </c>
      <c r="I27" s="37">
        <f t="shared" si="8"/>
        <v>98267</v>
      </c>
      <c r="J27" s="19">
        <v>20</v>
      </c>
      <c r="K27" s="45">
        <f t="shared" si="10"/>
        <v>98996</v>
      </c>
      <c r="L27" s="36">
        <f t="shared" si="9"/>
        <v>5</v>
      </c>
      <c r="M27" s="44">
        <f t="shared" si="0"/>
        <v>32</v>
      </c>
      <c r="N27" s="44">
        <f t="shared" si="1"/>
        <v>98267</v>
      </c>
      <c r="O27" s="61">
        <f t="shared" si="2"/>
        <v>80768.3109999212</v>
      </c>
      <c r="P27" s="59">
        <f>SUM(O27:$O$131)</f>
        <v>1920617.6469318136</v>
      </c>
      <c r="Q27" s="73">
        <f>SUM(P27:P$131)</f>
        <v>39850584.48073593</v>
      </c>
      <c r="R27" s="61">
        <f t="shared" si="3"/>
        <v>25.290064823364663</v>
      </c>
      <c r="S27" s="61">
        <f>SUM(R27:$R$131)</f>
        <v>6898.401502543676</v>
      </c>
      <c r="T27" s="59">
        <f>SUM(S27:$S$131)</f>
        <v>387902.85921119875</v>
      </c>
      <c r="U27" s="24"/>
      <c r="V27"/>
      <c r="W27"/>
      <c r="X27"/>
      <c r="Y27"/>
      <c r="Z27"/>
      <c r="AA27"/>
      <c r="AB27"/>
      <c r="AE27"/>
      <c r="AF27"/>
      <c r="AG27"/>
      <c r="AH27"/>
      <c r="AI27"/>
      <c r="AJ27"/>
      <c r="AK27"/>
      <c r="AL27" s="16"/>
      <c r="AM27"/>
      <c r="AN27"/>
      <c r="AO27"/>
      <c r="BD27" s="18"/>
      <c r="BE27" s="18"/>
      <c r="BF27" s="19"/>
      <c r="BG27" s="20"/>
      <c r="BH27" s="21"/>
      <c r="BI27"/>
      <c r="BJ27"/>
      <c r="BK27"/>
      <c r="BL27"/>
      <c r="BM27"/>
      <c r="BN27"/>
      <c r="BO27"/>
      <c r="BP27"/>
    </row>
    <row r="28" spans="1:68" ht="12.75">
      <c r="A28" s="36">
        <f t="shared" si="4"/>
        <v>6</v>
      </c>
      <c r="B28" s="19">
        <v>97</v>
      </c>
      <c r="C28" s="37">
        <f t="shared" si="5"/>
        <v>91516</v>
      </c>
      <c r="D28" s="38">
        <v>69</v>
      </c>
      <c r="E28">
        <f t="shared" si="6"/>
        <v>94606</v>
      </c>
      <c r="F28" s="39">
        <v>51</v>
      </c>
      <c r="G28" s="40">
        <f t="shared" si="7"/>
        <v>96496</v>
      </c>
      <c r="H28" s="41">
        <v>30</v>
      </c>
      <c r="I28" s="37">
        <f t="shared" si="8"/>
        <v>98235</v>
      </c>
      <c r="J28" s="19">
        <v>20</v>
      </c>
      <c r="K28" s="45">
        <f t="shared" si="10"/>
        <v>98976</v>
      </c>
      <c r="L28" s="36">
        <f t="shared" si="9"/>
        <v>6</v>
      </c>
      <c r="M28" s="44">
        <f t="shared" si="0"/>
        <v>30</v>
      </c>
      <c r="N28" s="44">
        <f t="shared" si="1"/>
        <v>98235</v>
      </c>
      <c r="O28" s="61">
        <f t="shared" si="2"/>
        <v>77636.54743510086</v>
      </c>
      <c r="P28" s="59">
        <f>SUM(O28:$O$131)</f>
        <v>1839849.3359318923</v>
      </c>
      <c r="Q28" s="73">
        <f>SUM(P28:P$131)</f>
        <v>37929966.833804116</v>
      </c>
      <c r="R28" s="61">
        <f t="shared" si="3"/>
        <v>22.7975343960619</v>
      </c>
      <c r="S28" s="61">
        <f>SUM(R28:$R$131)</f>
        <v>6873.111437720311</v>
      </c>
      <c r="T28" s="59">
        <f>SUM(S28:$S$131)</f>
        <v>381004.45770865504</v>
      </c>
      <c r="U28" s="24"/>
      <c r="V28"/>
      <c r="W28"/>
      <c r="X28"/>
      <c r="Y28"/>
      <c r="Z28"/>
      <c r="AA28"/>
      <c r="AB28"/>
      <c r="AE28"/>
      <c r="AF28"/>
      <c r="AG28"/>
      <c r="AH28"/>
      <c r="AI28"/>
      <c r="AJ28"/>
      <c r="AK28"/>
      <c r="AL28" s="16"/>
      <c r="AM28"/>
      <c r="AN28"/>
      <c r="AO28"/>
      <c r="BD28" s="46"/>
      <c r="BE28" s="46"/>
      <c r="BF28" s="47"/>
      <c r="BG28" s="48"/>
      <c r="BH28" s="49"/>
      <c r="BI28"/>
      <c r="BJ28"/>
      <c r="BK28"/>
      <c r="BL28"/>
      <c r="BM28"/>
      <c r="BN28"/>
      <c r="BO28"/>
      <c r="BP28"/>
    </row>
    <row r="29" spans="1:68" ht="12.75">
      <c r="A29" s="36">
        <f t="shared" si="4"/>
        <v>7</v>
      </c>
      <c r="B29" s="19">
        <v>85</v>
      </c>
      <c r="C29" s="37">
        <f t="shared" si="5"/>
        <v>91419</v>
      </c>
      <c r="D29" s="38">
        <v>61</v>
      </c>
      <c r="E29">
        <f t="shared" si="6"/>
        <v>94537</v>
      </c>
      <c r="F29" s="39">
        <v>47</v>
      </c>
      <c r="G29" s="40">
        <f t="shared" si="7"/>
        <v>96445</v>
      </c>
      <c r="H29" s="41">
        <v>29</v>
      </c>
      <c r="I29" s="37">
        <f t="shared" si="8"/>
        <v>98205</v>
      </c>
      <c r="J29" s="19">
        <v>20</v>
      </c>
      <c r="K29" s="45">
        <f t="shared" si="10"/>
        <v>98956</v>
      </c>
      <c r="L29" s="36">
        <f t="shared" si="9"/>
        <v>7</v>
      </c>
      <c r="M29" s="44">
        <f t="shared" si="0"/>
        <v>29</v>
      </c>
      <c r="N29" s="44">
        <f t="shared" si="1"/>
        <v>98205</v>
      </c>
      <c r="O29" s="61">
        <f t="shared" si="2"/>
        <v>74627.72884550862</v>
      </c>
      <c r="P29" s="59">
        <f>SUM(O29:$O$131)</f>
        <v>1762212.7884967916</v>
      </c>
      <c r="Q29" s="73">
        <f>SUM(P29:P$131)</f>
        <v>36090117.49787221</v>
      </c>
      <c r="R29" s="61">
        <f t="shared" si="3"/>
        <v>21.190015945057528</v>
      </c>
      <c r="S29" s="61">
        <f>SUM(R29:$R$131)</f>
        <v>6850.313903324249</v>
      </c>
      <c r="T29" s="59">
        <f>SUM(S29:$S$131)</f>
        <v>374131.3462709348</v>
      </c>
      <c r="U29" s="24"/>
      <c r="V29"/>
      <c r="W29"/>
      <c r="X29"/>
      <c r="Y29"/>
      <c r="Z29"/>
      <c r="AA29"/>
      <c r="AB29"/>
      <c r="AE29"/>
      <c r="AF29"/>
      <c r="AG29"/>
      <c r="AH29"/>
      <c r="AI29"/>
      <c r="AJ29"/>
      <c r="AK29"/>
      <c r="AL29"/>
      <c r="AM29"/>
      <c r="AN29"/>
      <c r="AO29"/>
      <c r="BD29"/>
      <c r="BE29"/>
      <c r="BF29"/>
      <c r="BG29"/>
      <c r="BH29"/>
      <c r="BI29"/>
      <c r="BJ29"/>
      <c r="BK29"/>
      <c r="BL29"/>
      <c r="BM29"/>
      <c r="BN29"/>
      <c r="BO29"/>
      <c r="BP29"/>
    </row>
    <row r="30" spans="1:68" ht="12.75">
      <c r="A30" s="36">
        <f t="shared" si="4"/>
        <v>8</v>
      </c>
      <c r="B30" s="19">
        <v>77</v>
      </c>
      <c r="C30" s="37">
        <f t="shared" si="5"/>
        <v>91334</v>
      </c>
      <c r="D30" s="38">
        <v>54</v>
      </c>
      <c r="E30">
        <f t="shared" si="6"/>
        <v>94476</v>
      </c>
      <c r="F30" s="39">
        <v>45</v>
      </c>
      <c r="G30" s="40">
        <f t="shared" si="7"/>
        <v>96398</v>
      </c>
      <c r="H30" s="41">
        <v>29</v>
      </c>
      <c r="I30" s="37">
        <f t="shared" si="8"/>
        <v>98176</v>
      </c>
      <c r="J30" s="19">
        <v>19</v>
      </c>
      <c r="K30" s="45">
        <f t="shared" si="10"/>
        <v>98936</v>
      </c>
      <c r="L30" s="36">
        <f t="shared" si="9"/>
        <v>8</v>
      </c>
      <c r="M30" s="44">
        <f t="shared" si="0"/>
        <v>29</v>
      </c>
      <c r="N30" s="44">
        <f t="shared" si="1"/>
        <v>98176</v>
      </c>
      <c r="O30" s="61">
        <f t="shared" si="2"/>
        <v>71736.24156627477</v>
      </c>
      <c r="P30" s="59">
        <f>SUM(O30:$O$131)</f>
        <v>1687585.059651283</v>
      </c>
      <c r="Q30" s="73">
        <f>SUM(P30:P$131)</f>
        <v>34327904.709375426</v>
      </c>
      <c r="R30" s="61">
        <f t="shared" si="3"/>
        <v>20.375015331786084</v>
      </c>
      <c r="S30" s="61">
        <f>SUM(R30:$R$131)</f>
        <v>6829.123887379191</v>
      </c>
      <c r="T30" s="59">
        <f>SUM(S30:$S$131)</f>
        <v>367281.0323676105</v>
      </c>
      <c r="U30" s="24"/>
      <c r="V30"/>
      <c r="W30"/>
      <c r="X30"/>
      <c r="Y30"/>
      <c r="Z30"/>
      <c r="AA30"/>
      <c r="AB30"/>
      <c r="AE30"/>
      <c r="AF30"/>
      <c r="AG30"/>
      <c r="AH30"/>
      <c r="AI30"/>
      <c r="AJ30"/>
      <c r="AK30"/>
      <c r="AL30"/>
      <c r="AM30"/>
      <c r="AN30"/>
      <c r="AO30"/>
      <c r="BD30"/>
      <c r="BE30"/>
      <c r="BF30"/>
      <c r="BG30"/>
      <c r="BH30"/>
      <c r="BI30"/>
      <c r="BJ30"/>
      <c r="BK30"/>
      <c r="BL30"/>
      <c r="BM30"/>
      <c r="BN30"/>
      <c r="BO30"/>
      <c r="BP30"/>
    </row>
    <row r="31" spans="1:68" ht="12.75">
      <c r="A31" s="36">
        <f t="shared" si="4"/>
        <v>9</v>
      </c>
      <c r="B31" s="19">
        <v>73</v>
      </c>
      <c r="C31" s="37">
        <f t="shared" si="5"/>
        <v>91257</v>
      </c>
      <c r="D31" s="38">
        <v>51</v>
      </c>
      <c r="E31">
        <f t="shared" si="6"/>
        <v>94422</v>
      </c>
      <c r="F31" s="39">
        <v>42</v>
      </c>
      <c r="G31" s="40">
        <f t="shared" si="7"/>
        <v>96353</v>
      </c>
      <c r="H31" s="41">
        <v>27</v>
      </c>
      <c r="I31" s="37">
        <f t="shared" si="8"/>
        <v>98147</v>
      </c>
      <c r="J31" s="19">
        <v>19</v>
      </c>
      <c r="K31" s="45">
        <f t="shared" si="10"/>
        <v>98917</v>
      </c>
      <c r="L31" s="36">
        <f t="shared" si="9"/>
        <v>9</v>
      </c>
      <c r="M31" s="44">
        <f t="shared" si="0"/>
        <v>27</v>
      </c>
      <c r="N31" s="44">
        <f t="shared" si="1"/>
        <v>98147</v>
      </c>
      <c r="O31" s="61">
        <f t="shared" si="2"/>
        <v>68956.78033685547</v>
      </c>
      <c r="P31" s="59">
        <f>SUM(O31:$O$131)</f>
        <v>1615848.818085008</v>
      </c>
      <c r="Q31" s="73">
        <f>SUM(P31:P$131)</f>
        <v>32640319.649724167</v>
      </c>
      <c r="R31" s="61">
        <f t="shared" si="3"/>
        <v>18.240232558296558</v>
      </c>
      <c r="S31" s="61">
        <f>SUM(R31:$R$131)</f>
        <v>6808.748872047406</v>
      </c>
      <c r="T31" s="59">
        <f>SUM(S31:$S$131)</f>
        <v>360451.90848023136</v>
      </c>
      <c r="U31" s="24"/>
      <c r="V31"/>
      <c r="W31"/>
      <c r="X31"/>
      <c r="Y31"/>
      <c r="Z31"/>
      <c r="AA31"/>
      <c r="AB31"/>
      <c r="AE31"/>
      <c r="AF31"/>
      <c r="AG31"/>
      <c r="AH31"/>
      <c r="AI31"/>
      <c r="AJ31"/>
      <c r="AK31"/>
      <c r="AL31"/>
      <c r="AM31"/>
      <c r="AN31"/>
      <c r="AO31"/>
      <c r="BD31"/>
      <c r="BE31"/>
      <c r="BF31"/>
      <c r="BG31"/>
      <c r="BH31"/>
      <c r="BI31"/>
      <c r="BJ31"/>
      <c r="BK31"/>
      <c r="BL31"/>
      <c r="BM31"/>
      <c r="BN31"/>
      <c r="BO31"/>
      <c r="BP31"/>
    </row>
    <row r="32" spans="1:68" ht="12.75">
      <c r="A32" s="36">
        <f t="shared" si="4"/>
        <v>10</v>
      </c>
      <c r="B32" s="19">
        <v>71</v>
      </c>
      <c r="C32" s="37">
        <f t="shared" si="5"/>
        <v>91184</v>
      </c>
      <c r="D32" s="38">
        <v>50</v>
      </c>
      <c r="E32">
        <f t="shared" si="6"/>
        <v>94371</v>
      </c>
      <c r="F32" s="39">
        <v>41</v>
      </c>
      <c r="G32" s="40">
        <f t="shared" si="7"/>
        <v>96311</v>
      </c>
      <c r="H32" s="41">
        <v>27</v>
      </c>
      <c r="I32" s="37">
        <f t="shared" si="8"/>
        <v>98120</v>
      </c>
      <c r="J32" s="19">
        <v>18</v>
      </c>
      <c r="K32" s="45">
        <f t="shared" si="10"/>
        <v>98898</v>
      </c>
      <c r="L32" s="36">
        <f t="shared" si="9"/>
        <v>10</v>
      </c>
      <c r="M32" s="44">
        <f t="shared" si="0"/>
        <v>27</v>
      </c>
      <c r="N32" s="44">
        <f t="shared" si="1"/>
        <v>98120</v>
      </c>
      <c r="O32" s="61">
        <f t="shared" si="2"/>
        <v>66286.35624518734</v>
      </c>
      <c r="P32" s="59">
        <f>SUM(O32:$O$131)</f>
        <v>1546892.0377481529</v>
      </c>
      <c r="Q32" s="73">
        <f>SUM(P32:P$131)</f>
        <v>31024470.831639152</v>
      </c>
      <c r="R32" s="61">
        <f t="shared" si="3"/>
        <v>17.538685152208235</v>
      </c>
      <c r="S32" s="61">
        <f>SUM(R32:$R$131)</f>
        <v>6790.508639489109</v>
      </c>
      <c r="T32" s="59">
        <f>SUM(S32:$S$131)</f>
        <v>353643.15960818395</v>
      </c>
      <c r="U32" s="24"/>
      <c r="V32"/>
      <c r="W32"/>
      <c r="X32"/>
      <c r="Y32"/>
      <c r="Z32"/>
      <c r="AA32"/>
      <c r="AB32"/>
      <c r="AE32"/>
      <c r="AF32"/>
      <c r="AG32"/>
      <c r="AH32"/>
      <c r="AI32"/>
      <c r="AJ32"/>
      <c r="AK32"/>
      <c r="AL32"/>
      <c r="AM32"/>
      <c r="AN32"/>
      <c r="AO32"/>
      <c r="BD32"/>
      <c r="BE32"/>
      <c r="BF32"/>
      <c r="BG32"/>
      <c r="BH32"/>
      <c r="BI32"/>
      <c r="BJ32"/>
      <c r="BK32"/>
      <c r="BL32"/>
      <c r="BM32"/>
      <c r="BN32"/>
      <c r="BO32"/>
      <c r="BP32"/>
    </row>
    <row r="33" spans="1:68" ht="12.75">
      <c r="A33" s="36">
        <f t="shared" si="4"/>
        <v>11</v>
      </c>
      <c r="B33" s="19">
        <v>72</v>
      </c>
      <c r="C33" s="37">
        <f t="shared" si="5"/>
        <v>91113</v>
      </c>
      <c r="D33" s="38">
        <v>54</v>
      </c>
      <c r="E33">
        <f t="shared" si="6"/>
        <v>94321</v>
      </c>
      <c r="F33" s="39">
        <v>43</v>
      </c>
      <c r="G33" s="40">
        <f t="shared" si="7"/>
        <v>96270</v>
      </c>
      <c r="H33" s="41">
        <v>26</v>
      </c>
      <c r="I33" s="37">
        <f t="shared" si="8"/>
        <v>98093</v>
      </c>
      <c r="J33" s="19">
        <v>17</v>
      </c>
      <c r="K33" s="45">
        <f t="shared" si="10"/>
        <v>98880</v>
      </c>
      <c r="L33" s="36">
        <f t="shared" si="9"/>
        <v>11</v>
      </c>
      <c r="M33" s="44">
        <f t="shared" si="0"/>
        <v>26</v>
      </c>
      <c r="N33" s="44">
        <f t="shared" si="1"/>
        <v>98093</v>
      </c>
      <c r="O33" s="61">
        <f t="shared" si="2"/>
        <v>63719.34231983564</v>
      </c>
      <c r="P33" s="59">
        <f>SUM(O33:$O$131)</f>
        <v>1480605.6815029655</v>
      </c>
      <c r="Q33" s="73">
        <f>SUM(P33:P$131)</f>
        <v>29477578.79389101</v>
      </c>
      <c r="R33" s="61">
        <f t="shared" si="3"/>
        <v>16.239523289081692</v>
      </c>
      <c r="S33" s="61">
        <f>SUM(R33:$R$131)</f>
        <v>6772.9699543369015</v>
      </c>
      <c r="T33" s="59">
        <f>SUM(S33:$S$131)</f>
        <v>346852.6509686948</v>
      </c>
      <c r="U33" s="24"/>
      <c r="V33"/>
      <c r="W33"/>
      <c r="X33"/>
      <c r="Y33"/>
      <c r="Z33"/>
      <c r="AA33"/>
      <c r="AB33"/>
      <c r="AE33"/>
      <c r="AF33"/>
      <c r="AG33"/>
      <c r="AH33"/>
      <c r="AI33"/>
      <c r="AJ33"/>
      <c r="AK33"/>
      <c r="AL33"/>
      <c r="AM33"/>
      <c r="AN33"/>
      <c r="AO33"/>
      <c r="BD33"/>
      <c r="BE33"/>
      <c r="BF33"/>
      <c r="BG33"/>
      <c r="BH33"/>
      <c r="BI33"/>
      <c r="BJ33"/>
      <c r="BK33"/>
      <c r="BL33"/>
      <c r="BM33"/>
      <c r="BN33"/>
      <c r="BO33"/>
      <c r="BP33"/>
    </row>
    <row r="34" spans="1:68" ht="12.75">
      <c r="A34" s="36">
        <f t="shared" si="4"/>
        <v>12</v>
      </c>
      <c r="B34" s="19">
        <v>73</v>
      </c>
      <c r="C34" s="37">
        <f t="shared" si="5"/>
        <v>91041</v>
      </c>
      <c r="D34" s="38">
        <v>55</v>
      </c>
      <c r="E34">
        <f t="shared" si="6"/>
        <v>94267</v>
      </c>
      <c r="F34" s="39">
        <v>47</v>
      </c>
      <c r="G34" s="40">
        <f t="shared" si="7"/>
        <v>96227</v>
      </c>
      <c r="H34" s="41">
        <v>30</v>
      </c>
      <c r="I34" s="37">
        <f t="shared" si="8"/>
        <v>98067</v>
      </c>
      <c r="J34" s="19">
        <v>21</v>
      </c>
      <c r="K34" s="45">
        <f t="shared" si="10"/>
        <v>98863</v>
      </c>
      <c r="L34" s="36">
        <f t="shared" si="9"/>
        <v>12</v>
      </c>
      <c r="M34" s="44">
        <f t="shared" si="0"/>
        <v>30</v>
      </c>
      <c r="N34" s="44">
        <f t="shared" si="1"/>
        <v>98067</v>
      </c>
      <c r="O34" s="61">
        <f t="shared" si="2"/>
        <v>61252.35886116825</v>
      </c>
      <c r="P34" s="59">
        <f>SUM(O34:$O$131)</f>
        <v>1416886.3391831298</v>
      </c>
      <c r="Q34" s="73">
        <f>SUM(P34:P$131)</f>
        <v>27996973.11238804</v>
      </c>
      <c r="R34" s="61">
        <f t="shared" si="3"/>
        <v>18.01722258404034</v>
      </c>
      <c r="S34" s="61">
        <f>SUM(R34:$R$131)</f>
        <v>6756.73043104782</v>
      </c>
      <c r="T34" s="59">
        <f>SUM(S34:$S$131)</f>
        <v>340079.68101435795</v>
      </c>
      <c r="U34" s="24"/>
      <c r="V34"/>
      <c r="W34"/>
      <c r="X34"/>
      <c r="Y34"/>
      <c r="Z34"/>
      <c r="AA34"/>
      <c r="AB34"/>
      <c r="AE34"/>
      <c r="AF34"/>
      <c r="AG34"/>
      <c r="AH34"/>
      <c r="AI34"/>
      <c r="AJ34"/>
      <c r="AK34"/>
      <c r="AL34"/>
      <c r="AM34"/>
      <c r="AN34"/>
      <c r="AO34"/>
      <c r="BD34"/>
      <c r="BE34"/>
      <c r="BF34"/>
      <c r="BG34"/>
      <c r="BH34"/>
      <c r="BI34"/>
      <c r="BJ34"/>
      <c r="BK34"/>
      <c r="BL34"/>
      <c r="BM34"/>
      <c r="BN34"/>
      <c r="BO34"/>
      <c r="BP34"/>
    </row>
    <row r="35" spans="1:68" ht="12.75">
      <c r="A35" s="36">
        <f t="shared" si="4"/>
        <v>13</v>
      </c>
      <c r="B35" s="19">
        <v>76</v>
      </c>
      <c r="C35" s="37">
        <f t="shared" si="5"/>
        <v>90968</v>
      </c>
      <c r="D35" s="38">
        <v>58</v>
      </c>
      <c r="E35">
        <f t="shared" si="6"/>
        <v>94212</v>
      </c>
      <c r="F35" s="39">
        <v>56</v>
      </c>
      <c r="G35" s="40">
        <f t="shared" si="7"/>
        <v>96180</v>
      </c>
      <c r="H35" s="41">
        <v>39</v>
      </c>
      <c r="I35" s="37">
        <f t="shared" si="8"/>
        <v>98037</v>
      </c>
      <c r="J35" s="19">
        <v>25</v>
      </c>
      <c r="K35" s="45">
        <f t="shared" si="10"/>
        <v>98842</v>
      </c>
      <c r="L35" s="36">
        <f t="shared" si="9"/>
        <v>13</v>
      </c>
      <c r="M35" s="44">
        <f t="shared" si="0"/>
        <v>39</v>
      </c>
      <c r="N35" s="44">
        <f t="shared" si="1"/>
        <v>98037</v>
      </c>
      <c r="O35" s="61">
        <f t="shared" si="2"/>
        <v>58878.48168238543</v>
      </c>
      <c r="P35" s="59">
        <f>SUM(O35:$O$131)</f>
        <v>1355633.9803219617</v>
      </c>
      <c r="Q35" s="73">
        <f>SUM(P35:P$131)</f>
        <v>26580086.77320491</v>
      </c>
      <c r="R35" s="61">
        <f t="shared" si="3"/>
        <v>22.52152823005043</v>
      </c>
      <c r="S35" s="61">
        <f>SUM(R35:$R$131)</f>
        <v>6738.713208463779</v>
      </c>
      <c r="T35" s="59">
        <f>SUM(S35:$S$131)</f>
        <v>333322.95058331016</v>
      </c>
      <c r="U35" s="24"/>
      <c r="V35"/>
      <c r="W35"/>
      <c r="X35"/>
      <c r="Y35"/>
      <c r="Z35"/>
      <c r="AA35"/>
      <c r="AB35"/>
      <c r="AE35"/>
      <c r="AF35"/>
      <c r="AG35"/>
      <c r="AH35"/>
      <c r="AI35"/>
      <c r="AJ35"/>
      <c r="AK35"/>
      <c r="AL35"/>
      <c r="AM35"/>
      <c r="AN35"/>
      <c r="AO35"/>
      <c r="BD35"/>
      <c r="BE35"/>
      <c r="BF35"/>
      <c r="BG35"/>
      <c r="BH35"/>
      <c r="BI35"/>
      <c r="BJ35"/>
      <c r="BK35"/>
      <c r="BL35"/>
      <c r="BM35"/>
      <c r="BN35"/>
      <c r="BO35"/>
      <c r="BP35"/>
    </row>
    <row r="36" spans="1:68" ht="12.75">
      <c r="A36" s="36">
        <f t="shared" si="4"/>
        <v>14</v>
      </c>
      <c r="B36" s="19">
        <v>81</v>
      </c>
      <c r="C36" s="37">
        <f t="shared" si="5"/>
        <v>90892</v>
      </c>
      <c r="D36" s="38">
        <v>65</v>
      </c>
      <c r="E36">
        <f t="shared" si="6"/>
        <v>94154</v>
      </c>
      <c r="F36" s="39">
        <v>66</v>
      </c>
      <c r="G36" s="40">
        <f t="shared" si="7"/>
        <v>96124</v>
      </c>
      <c r="H36" s="41">
        <v>51</v>
      </c>
      <c r="I36" s="37">
        <f t="shared" si="8"/>
        <v>97998</v>
      </c>
      <c r="J36" s="19">
        <v>37</v>
      </c>
      <c r="K36" s="45">
        <f t="shared" si="10"/>
        <v>98817</v>
      </c>
      <c r="L36" s="36">
        <f t="shared" si="9"/>
        <v>14</v>
      </c>
      <c r="M36" s="44">
        <f t="shared" si="0"/>
        <v>51</v>
      </c>
      <c r="N36" s="44">
        <f t="shared" si="1"/>
        <v>97998</v>
      </c>
      <c r="O36" s="61">
        <f t="shared" si="2"/>
        <v>56591.403166371325</v>
      </c>
      <c r="P36" s="59">
        <f>SUM(O36:$O$131)</f>
        <v>1296755.4986395761</v>
      </c>
      <c r="Q36" s="73">
        <f>SUM(P36:P$131)</f>
        <v>25224452.79288295</v>
      </c>
      <c r="R36" s="61">
        <f t="shared" si="3"/>
        <v>28.318489638377013</v>
      </c>
      <c r="S36" s="61">
        <f>SUM(R36:$R$131)</f>
        <v>6716.191680233728</v>
      </c>
      <c r="T36" s="59">
        <f>SUM(S36:$S$131)</f>
        <v>326584.2373748464</v>
      </c>
      <c r="U36" s="24"/>
      <c r="V36"/>
      <c r="W36"/>
      <c r="X36"/>
      <c r="Y36"/>
      <c r="Z36"/>
      <c r="AA36"/>
      <c r="AB36"/>
      <c r="AE36"/>
      <c r="AF36"/>
      <c r="AG36"/>
      <c r="AH36"/>
      <c r="AI36"/>
      <c r="AJ36"/>
      <c r="AK36"/>
      <c r="AL36"/>
      <c r="AM36"/>
      <c r="AN36"/>
      <c r="AO36"/>
      <c r="BD36"/>
      <c r="BE36"/>
      <c r="BF36"/>
      <c r="BG36"/>
      <c r="BH36"/>
      <c r="BI36"/>
      <c r="BJ36"/>
      <c r="BK36"/>
      <c r="BL36"/>
      <c r="BM36"/>
      <c r="BN36"/>
      <c r="BO36"/>
      <c r="BP36"/>
    </row>
    <row r="37" spans="1:68" ht="12.75">
      <c r="A37" s="36">
        <f t="shared" si="4"/>
        <v>15</v>
      </c>
      <c r="B37" s="19">
        <v>93</v>
      </c>
      <c r="C37" s="37">
        <f t="shared" si="5"/>
        <v>90811</v>
      </c>
      <c r="D37" s="38">
        <v>80</v>
      </c>
      <c r="E37">
        <f t="shared" si="6"/>
        <v>94089</v>
      </c>
      <c r="F37" s="39">
        <v>79</v>
      </c>
      <c r="G37" s="40">
        <f t="shared" si="7"/>
        <v>96058</v>
      </c>
      <c r="H37" s="41">
        <v>68</v>
      </c>
      <c r="I37" s="37">
        <f t="shared" si="8"/>
        <v>97947</v>
      </c>
      <c r="J37" s="19">
        <v>54</v>
      </c>
      <c r="K37" s="45">
        <f t="shared" si="10"/>
        <v>98780</v>
      </c>
      <c r="L37" s="36">
        <f t="shared" si="9"/>
        <v>15</v>
      </c>
      <c r="M37" s="44">
        <f t="shared" si="0"/>
        <v>68</v>
      </c>
      <c r="N37" s="44">
        <f t="shared" si="1"/>
        <v>97947</v>
      </c>
      <c r="O37" s="61">
        <f t="shared" si="2"/>
        <v>54386.49224725713</v>
      </c>
      <c r="P37" s="59">
        <f>SUM(O37:$O$131)</f>
        <v>1240164.0954732045</v>
      </c>
      <c r="Q37" s="73">
        <f>SUM(P37:P$131)</f>
        <v>23927697.29424337</v>
      </c>
      <c r="R37" s="61">
        <f t="shared" si="3"/>
        <v>36.30575594663719</v>
      </c>
      <c r="S37" s="61">
        <f>SUM(R37:$R$131)</f>
        <v>6687.873190595351</v>
      </c>
      <c r="T37" s="59">
        <f>SUM(S37:$S$131)</f>
        <v>319868.0456946127</v>
      </c>
      <c r="U37" s="24"/>
      <c r="V37"/>
      <c r="W37"/>
      <c r="X37"/>
      <c r="Y37"/>
      <c r="Z37"/>
      <c r="AA37"/>
      <c r="AB37"/>
      <c r="AE37"/>
      <c r="AF37"/>
      <c r="AG37"/>
      <c r="AH37"/>
      <c r="AI37"/>
      <c r="AJ37"/>
      <c r="AK37"/>
      <c r="AL37"/>
      <c r="AM37"/>
      <c r="AN37"/>
      <c r="AO37"/>
      <c r="BD37"/>
      <c r="BE37"/>
      <c r="BF37"/>
      <c r="BG37"/>
      <c r="BH37"/>
      <c r="BI37"/>
      <c r="BJ37"/>
      <c r="BK37"/>
      <c r="BL37"/>
      <c r="BM37"/>
      <c r="BN37"/>
      <c r="BO37"/>
      <c r="BP37"/>
    </row>
    <row r="38" spans="1:36" ht="12.75">
      <c r="A38" s="36">
        <f t="shared" si="4"/>
        <v>16</v>
      </c>
      <c r="B38" s="19">
        <v>106</v>
      </c>
      <c r="C38" s="37">
        <f t="shared" si="5"/>
        <v>90718</v>
      </c>
      <c r="D38" s="38">
        <v>96</v>
      </c>
      <c r="E38">
        <f t="shared" si="6"/>
        <v>94009</v>
      </c>
      <c r="F38" s="39">
        <v>91</v>
      </c>
      <c r="G38" s="40">
        <f t="shared" si="7"/>
        <v>95979</v>
      </c>
      <c r="H38" s="41">
        <v>88</v>
      </c>
      <c r="I38" s="37">
        <f t="shared" si="8"/>
        <v>97879</v>
      </c>
      <c r="J38" s="19">
        <v>73</v>
      </c>
      <c r="K38" s="45">
        <f t="shared" si="10"/>
        <v>98726</v>
      </c>
      <c r="L38" s="36">
        <f t="shared" si="9"/>
        <v>16</v>
      </c>
      <c r="M38" s="44">
        <f t="shared" si="0"/>
        <v>88</v>
      </c>
      <c r="N38" s="44">
        <f t="shared" si="1"/>
        <v>97879</v>
      </c>
      <c r="O38" s="61">
        <f t="shared" si="2"/>
        <v>52258.39832795443</v>
      </c>
      <c r="P38" s="59">
        <f>SUM(O38:$O$131)</f>
        <v>1185777.6032259474</v>
      </c>
      <c r="Q38" s="73">
        <f>SUM(P38:P$131)</f>
        <v>22687533.198770165</v>
      </c>
      <c r="R38" s="61">
        <f t="shared" si="3"/>
        <v>45.17684563495578</v>
      </c>
      <c r="S38" s="61">
        <f>SUM(R38:$R$131)</f>
        <v>6651.567434648715</v>
      </c>
      <c r="T38" s="59">
        <f>SUM(S38:$S$131)</f>
        <v>313180.1725040174</v>
      </c>
      <c r="U38" s="24"/>
      <c r="V38"/>
      <c r="W38"/>
      <c r="X38"/>
      <c r="Y38"/>
      <c r="Z38"/>
      <c r="AA38"/>
      <c r="AB38"/>
      <c r="AE38"/>
      <c r="AF38"/>
      <c r="AG38" s="50"/>
      <c r="AH38"/>
      <c r="AI38"/>
      <c r="AJ38" s="51"/>
    </row>
    <row r="39" spans="1:36" ht="12.75">
      <c r="A39" s="36">
        <f t="shared" si="4"/>
        <v>17</v>
      </c>
      <c r="B39" s="19">
        <v>116</v>
      </c>
      <c r="C39" s="37">
        <f t="shared" si="5"/>
        <v>90612</v>
      </c>
      <c r="D39" s="38">
        <v>109</v>
      </c>
      <c r="E39">
        <f t="shared" si="6"/>
        <v>93913</v>
      </c>
      <c r="F39" s="39">
        <v>102</v>
      </c>
      <c r="G39" s="40">
        <f t="shared" si="7"/>
        <v>95888</v>
      </c>
      <c r="H39" s="41">
        <v>101</v>
      </c>
      <c r="I39" s="37">
        <f t="shared" si="8"/>
        <v>97791</v>
      </c>
      <c r="J39" s="19">
        <v>87</v>
      </c>
      <c r="K39" s="45">
        <f t="shared" si="10"/>
        <v>98653</v>
      </c>
      <c r="L39" s="36">
        <f t="shared" si="9"/>
        <v>17</v>
      </c>
      <c r="M39" s="44">
        <f t="shared" si="0"/>
        <v>101</v>
      </c>
      <c r="N39" s="44">
        <f t="shared" si="1"/>
        <v>97791</v>
      </c>
      <c r="O39" s="61">
        <f t="shared" si="2"/>
        <v>50203.283085090465</v>
      </c>
      <c r="P39" s="59">
        <f>SUM(O39:$O$131)</f>
        <v>1133519.2048979928</v>
      </c>
      <c r="Q39" s="73">
        <f>SUM(P39:P$131)</f>
        <v>21501755.59554422</v>
      </c>
      <c r="R39" s="61">
        <f t="shared" si="3"/>
        <v>49.856440222143064</v>
      </c>
      <c r="S39" s="61">
        <f>SUM(R39:$R$131)</f>
        <v>6606.3905890137585</v>
      </c>
      <c r="T39" s="59">
        <f>SUM(S39:$S$131)</f>
        <v>306528.6050693687</v>
      </c>
      <c r="U39" s="24"/>
      <c r="V39"/>
      <c r="W39"/>
      <c r="X39"/>
      <c r="Y39"/>
      <c r="Z39"/>
      <c r="AA39"/>
      <c r="AB39"/>
      <c r="AE39"/>
      <c r="AF39"/>
      <c r="AG39" s="50"/>
      <c r="AH39"/>
      <c r="AI39"/>
      <c r="AJ39" s="51"/>
    </row>
    <row r="40" spans="1:36" ht="15.75" customHeight="1">
      <c r="A40" s="36">
        <f t="shared" si="4"/>
        <v>18</v>
      </c>
      <c r="B40" s="19">
        <v>126</v>
      </c>
      <c r="C40" s="37">
        <f t="shared" si="5"/>
        <v>90496</v>
      </c>
      <c r="D40" s="38">
        <v>121</v>
      </c>
      <c r="E40">
        <f t="shared" si="6"/>
        <v>93804</v>
      </c>
      <c r="F40" s="39">
        <v>109</v>
      </c>
      <c r="G40" s="40">
        <f t="shared" si="7"/>
        <v>95786</v>
      </c>
      <c r="H40" s="41">
        <v>111</v>
      </c>
      <c r="I40" s="37">
        <f t="shared" si="8"/>
        <v>97690</v>
      </c>
      <c r="J40" s="19">
        <v>97</v>
      </c>
      <c r="K40" s="45">
        <f t="shared" si="10"/>
        <v>98566</v>
      </c>
      <c r="L40" s="36">
        <f t="shared" si="9"/>
        <v>18</v>
      </c>
      <c r="M40" s="44">
        <f t="shared" si="0"/>
        <v>111</v>
      </c>
      <c r="N40" s="44">
        <f t="shared" si="1"/>
        <v>97690</v>
      </c>
      <c r="O40" s="61">
        <f t="shared" si="2"/>
        <v>48222.5311415956</v>
      </c>
      <c r="P40" s="59">
        <f>SUM(O40:$O$131)</f>
        <v>1083315.9218129027</v>
      </c>
      <c r="Q40" s="73">
        <f>SUM(P40:P$131)</f>
        <v>20368236.390646227</v>
      </c>
      <c r="R40" s="61">
        <f t="shared" si="3"/>
        <v>52.68530906947716</v>
      </c>
      <c r="S40" s="61">
        <f>SUM(R40:$R$131)</f>
        <v>6556.534148791615</v>
      </c>
      <c r="T40" s="59">
        <f>SUM(S40:$S$131)</f>
        <v>299922.214480355</v>
      </c>
      <c r="U40" s="24"/>
      <c r="V40"/>
      <c r="W40"/>
      <c r="X40"/>
      <c r="Y40"/>
      <c r="Z40"/>
      <c r="AA40"/>
      <c r="AB40"/>
      <c r="AE40"/>
      <c r="AF40"/>
      <c r="AG40" s="50"/>
      <c r="AH40"/>
      <c r="AI40"/>
      <c r="AJ40" s="51"/>
    </row>
    <row r="41" spans="1:36" ht="12.75">
      <c r="A41" s="36">
        <f t="shared" si="4"/>
        <v>19</v>
      </c>
      <c r="B41" s="19">
        <v>133</v>
      </c>
      <c r="C41" s="37">
        <f t="shared" si="5"/>
        <v>90370</v>
      </c>
      <c r="D41" s="38">
        <v>129</v>
      </c>
      <c r="E41">
        <f t="shared" si="6"/>
        <v>93683</v>
      </c>
      <c r="F41" s="39">
        <v>113</v>
      </c>
      <c r="G41" s="40">
        <f t="shared" si="7"/>
        <v>95677</v>
      </c>
      <c r="H41" s="41">
        <v>112</v>
      </c>
      <c r="I41" s="37">
        <f t="shared" si="8"/>
        <v>97579</v>
      </c>
      <c r="J41" s="19">
        <v>102</v>
      </c>
      <c r="K41" s="45">
        <f t="shared" si="10"/>
        <v>98469</v>
      </c>
      <c r="L41" s="36">
        <f t="shared" si="9"/>
        <v>19</v>
      </c>
      <c r="M41" s="44">
        <f t="shared" si="0"/>
        <v>112</v>
      </c>
      <c r="N41" s="44">
        <f t="shared" si="1"/>
        <v>97579</v>
      </c>
      <c r="O41" s="61">
        <f t="shared" si="2"/>
        <v>46315.133096310914</v>
      </c>
      <c r="P41" s="59">
        <f>SUM(O41:$O$131)</f>
        <v>1035093.3906713069</v>
      </c>
      <c r="Q41" s="73">
        <f>SUM(P41:P$131)</f>
        <v>19284920.46883332</v>
      </c>
      <c r="R41" s="61">
        <f t="shared" si="3"/>
        <v>51.11533797454471</v>
      </c>
      <c r="S41" s="61">
        <f>SUM(R41:$R$131)</f>
        <v>6503.848839722138</v>
      </c>
      <c r="T41" s="59">
        <f>SUM(S41:$S$131)</f>
        <v>293365.6803315633</v>
      </c>
      <c r="U41" s="24"/>
      <c r="V41"/>
      <c r="W41"/>
      <c r="X41"/>
      <c r="Y41"/>
      <c r="Z41"/>
      <c r="AA41"/>
      <c r="AB41"/>
      <c r="AE41"/>
      <c r="AF41"/>
      <c r="AG41" s="50"/>
      <c r="AH41"/>
      <c r="AI41"/>
      <c r="AJ41" s="51"/>
    </row>
    <row r="42" spans="1:36" ht="12.75">
      <c r="A42" s="36">
        <f t="shared" si="4"/>
        <v>20</v>
      </c>
      <c r="B42" s="19">
        <v>139</v>
      </c>
      <c r="C42" s="37">
        <f t="shared" si="5"/>
        <v>90237</v>
      </c>
      <c r="D42" s="38">
        <v>128</v>
      </c>
      <c r="E42">
        <f t="shared" si="6"/>
        <v>93554</v>
      </c>
      <c r="F42" s="39">
        <v>113</v>
      </c>
      <c r="G42" s="40">
        <f t="shared" si="7"/>
        <v>95564</v>
      </c>
      <c r="H42" s="41">
        <v>107</v>
      </c>
      <c r="I42" s="37">
        <f t="shared" si="8"/>
        <v>97467</v>
      </c>
      <c r="J42" s="19">
        <v>106</v>
      </c>
      <c r="K42" s="45">
        <f t="shared" si="10"/>
        <v>98367</v>
      </c>
      <c r="L42" s="36">
        <f t="shared" si="9"/>
        <v>20</v>
      </c>
      <c r="M42" s="44">
        <f t="shared" si="0"/>
        <v>107</v>
      </c>
      <c r="N42" s="44">
        <f t="shared" si="1"/>
        <v>97467</v>
      </c>
      <c r="O42" s="61">
        <f t="shared" si="2"/>
        <v>44482.666485401336</v>
      </c>
      <c r="P42" s="59">
        <f>SUM(O42:$O$131)</f>
        <v>988778.2575749959</v>
      </c>
      <c r="Q42" s="73">
        <f>SUM(P42:P$131)</f>
        <v>18249827.078162007</v>
      </c>
      <c r="R42" s="61">
        <f t="shared" si="3"/>
        <v>46.95519542647907</v>
      </c>
      <c r="S42" s="61">
        <f>SUM(R42:$R$131)</f>
        <v>6452.733501747593</v>
      </c>
      <c r="T42" s="59">
        <f>SUM(S42:$S$131)</f>
        <v>286861.8314918412</v>
      </c>
      <c r="U42" s="24"/>
      <c r="V42"/>
      <c r="W42"/>
      <c r="X42"/>
      <c r="Y42"/>
      <c r="Z42"/>
      <c r="AA42"/>
      <c r="AB42"/>
      <c r="AE42"/>
      <c r="AF42"/>
      <c r="AG42" s="50"/>
      <c r="AH42"/>
      <c r="AI42"/>
      <c r="AJ42" s="51"/>
    </row>
    <row r="43" spans="1:63" ht="14.25" customHeight="1">
      <c r="A43" s="36">
        <f t="shared" si="4"/>
        <v>21</v>
      </c>
      <c r="B43" s="19">
        <v>146</v>
      </c>
      <c r="C43" s="37">
        <f t="shared" si="5"/>
        <v>90098</v>
      </c>
      <c r="D43" s="38">
        <v>120</v>
      </c>
      <c r="E43">
        <f t="shared" si="6"/>
        <v>93426</v>
      </c>
      <c r="F43" s="39">
        <v>112</v>
      </c>
      <c r="G43" s="40">
        <f t="shared" si="7"/>
        <v>95451</v>
      </c>
      <c r="H43" s="41">
        <v>106</v>
      </c>
      <c r="I43" s="37">
        <f t="shared" si="8"/>
        <v>97360</v>
      </c>
      <c r="J43" s="19">
        <v>111</v>
      </c>
      <c r="K43" s="45">
        <f t="shared" si="10"/>
        <v>98261</v>
      </c>
      <c r="L43" s="36">
        <f t="shared" si="9"/>
        <v>21</v>
      </c>
      <c r="M43" s="44">
        <f t="shared" si="0"/>
        <v>106</v>
      </c>
      <c r="N43" s="44">
        <f t="shared" si="1"/>
        <v>97360</v>
      </c>
      <c r="O43" s="61">
        <f t="shared" si="2"/>
        <v>42724.83950207479</v>
      </c>
      <c r="P43" s="59">
        <f>SUM(O43:$O$131)</f>
        <v>944295.5910895945</v>
      </c>
      <c r="Q43" s="73">
        <f>SUM(P43:P$131)</f>
        <v>17261048.820587013</v>
      </c>
      <c r="R43" s="61">
        <f t="shared" si="3"/>
        <v>44.727270984963894</v>
      </c>
      <c r="S43" s="61">
        <f>SUM(R43:$R$131)</f>
        <v>6405.7783063211145</v>
      </c>
      <c r="T43" s="59">
        <f>SUM(S43:$S$131)</f>
        <v>280409.0979900936</v>
      </c>
      <c r="U43" s="24"/>
      <c r="V43"/>
      <c r="W43"/>
      <c r="X43"/>
      <c r="Y43"/>
      <c r="Z43"/>
      <c r="AA43"/>
      <c r="AB43"/>
      <c r="AE43" s="53"/>
      <c r="AG43" s="50"/>
      <c r="AH43"/>
      <c r="BK43" s="8"/>
    </row>
    <row r="44" spans="1:34" ht="12.75">
      <c r="A44" s="36">
        <f t="shared" si="4"/>
        <v>22</v>
      </c>
      <c r="B44" s="19">
        <v>152</v>
      </c>
      <c r="C44" s="37">
        <f t="shared" si="5"/>
        <v>89952</v>
      </c>
      <c r="D44" s="38">
        <v>120</v>
      </c>
      <c r="E44">
        <f t="shared" si="6"/>
        <v>93306</v>
      </c>
      <c r="F44" s="39">
        <v>111</v>
      </c>
      <c r="G44" s="40">
        <f t="shared" si="7"/>
        <v>95339</v>
      </c>
      <c r="H44" s="41">
        <v>106</v>
      </c>
      <c r="I44" s="37">
        <f t="shared" si="8"/>
        <v>97254</v>
      </c>
      <c r="J44" s="19">
        <v>116</v>
      </c>
      <c r="K44" s="45">
        <f t="shared" si="10"/>
        <v>98150</v>
      </c>
      <c r="L44" s="36">
        <f t="shared" si="9"/>
        <v>22</v>
      </c>
      <c r="M44" s="44">
        <f t="shared" si="0"/>
        <v>106</v>
      </c>
      <c r="N44" s="44">
        <f t="shared" si="1"/>
        <v>97254</v>
      </c>
      <c r="O44" s="61">
        <f t="shared" si="2"/>
        <v>41036.84917331772</v>
      </c>
      <c r="P44" s="59">
        <f>SUM(O44:$O$131)</f>
        <v>901570.7515875198</v>
      </c>
      <c r="Q44" s="73">
        <f>SUM(P44:P$131)</f>
        <v>16316753.229497414</v>
      </c>
      <c r="R44" s="61">
        <f t="shared" si="3"/>
        <v>43.00699133169606</v>
      </c>
      <c r="S44" s="61">
        <f>SUM(R44:$R$131)</f>
        <v>6361.051035336151</v>
      </c>
      <c r="T44" s="59">
        <f>SUM(S44:$S$131)</f>
        <v>274003.3196837724</v>
      </c>
      <c r="U44" s="24"/>
      <c r="V44"/>
      <c r="W44"/>
      <c r="X44"/>
      <c r="Y44"/>
      <c r="Z44"/>
      <c r="AA44"/>
      <c r="AB44"/>
      <c r="AE44" s="53"/>
      <c r="AG44" s="50"/>
      <c r="AH44"/>
    </row>
    <row r="45" spans="1:34" ht="12.75">
      <c r="A45" s="36">
        <f t="shared" si="4"/>
        <v>23</v>
      </c>
      <c r="B45" s="19">
        <v>157</v>
      </c>
      <c r="C45" s="37">
        <f t="shared" si="5"/>
        <v>89800</v>
      </c>
      <c r="D45" s="38">
        <v>127</v>
      </c>
      <c r="E45">
        <f t="shared" si="6"/>
        <v>93186</v>
      </c>
      <c r="F45" s="39">
        <v>110</v>
      </c>
      <c r="G45" s="40">
        <f t="shared" si="7"/>
        <v>95228</v>
      </c>
      <c r="H45" s="41">
        <v>102</v>
      </c>
      <c r="I45" s="37">
        <f t="shared" si="8"/>
        <v>97148</v>
      </c>
      <c r="J45" s="19">
        <v>117</v>
      </c>
      <c r="K45" s="45">
        <f t="shared" si="10"/>
        <v>98034</v>
      </c>
      <c r="L45" s="36">
        <f t="shared" si="9"/>
        <v>23</v>
      </c>
      <c r="M45" s="44">
        <f t="shared" si="0"/>
        <v>102</v>
      </c>
      <c r="N45" s="44">
        <f t="shared" si="1"/>
        <v>97148</v>
      </c>
      <c r="O45" s="61">
        <f t="shared" si="2"/>
        <v>39415.50182916612</v>
      </c>
      <c r="P45" s="59">
        <f>SUM(O45:$O$131)</f>
        <v>860533.9024142021</v>
      </c>
      <c r="Q45" s="73">
        <f>SUM(P45:P$131)</f>
        <v>15415182.477909893</v>
      </c>
      <c r="R45" s="61">
        <f t="shared" si="3"/>
        <v>39.79239038310049</v>
      </c>
      <c r="S45" s="61">
        <f>SUM(R45:$R$131)</f>
        <v>6318.044044004454</v>
      </c>
      <c r="T45" s="59">
        <f>SUM(S45:$S$131)</f>
        <v>267642.2686484363</v>
      </c>
      <c r="U45" s="24"/>
      <c r="V45"/>
      <c r="W45"/>
      <c r="X45"/>
      <c r="Y45"/>
      <c r="Z45"/>
      <c r="AA45"/>
      <c r="AB45"/>
      <c r="AE45" s="53"/>
      <c r="AG45" s="50"/>
      <c r="AH45"/>
    </row>
    <row r="46" spans="1:34" ht="12.75">
      <c r="A46" s="36">
        <f t="shared" si="4"/>
        <v>24</v>
      </c>
      <c r="B46" s="19">
        <v>157</v>
      </c>
      <c r="C46" s="37">
        <f t="shared" si="5"/>
        <v>89643</v>
      </c>
      <c r="D46" s="38">
        <v>134</v>
      </c>
      <c r="E46">
        <f t="shared" si="6"/>
        <v>93059</v>
      </c>
      <c r="F46" s="39">
        <v>108</v>
      </c>
      <c r="G46" s="40">
        <f t="shared" si="7"/>
        <v>95118</v>
      </c>
      <c r="H46" s="41">
        <v>101</v>
      </c>
      <c r="I46" s="37">
        <f t="shared" si="8"/>
        <v>97046</v>
      </c>
      <c r="J46" s="19">
        <v>118</v>
      </c>
      <c r="K46" s="45">
        <f t="shared" si="10"/>
        <v>97917</v>
      </c>
      <c r="L46" s="36">
        <f t="shared" si="9"/>
        <v>24</v>
      </c>
      <c r="M46" s="44">
        <f t="shared" si="0"/>
        <v>101</v>
      </c>
      <c r="N46" s="44">
        <f t="shared" si="1"/>
        <v>97046</v>
      </c>
      <c r="O46" s="61">
        <f t="shared" si="2"/>
        <v>37859.728599199705</v>
      </c>
      <c r="P46" s="59">
        <f>SUM(O46:$O$131)</f>
        <v>821118.400585036</v>
      </c>
      <c r="Q46" s="73">
        <f>SUM(P46:P$131)</f>
        <v>14554648.57549569</v>
      </c>
      <c r="R46" s="61">
        <f t="shared" si="3"/>
        <v>37.88679702765034</v>
      </c>
      <c r="S46" s="61">
        <f>SUM(R46:$R$131)</f>
        <v>6278.251653621354</v>
      </c>
      <c r="T46" s="59">
        <f>SUM(S46:$S$131)</f>
        <v>261324.22460443192</v>
      </c>
      <c r="U46" s="24"/>
      <c r="V46"/>
      <c r="W46"/>
      <c r="X46"/>
      <c r="Y46"/>
      <c r="Z46"/>
      <c r="AA46"/>
      <c r="AB46"/>
      <c r="AE46" s="53"/>
      <c r="AG46" s="50"/>
      <c r="AH46"/>
    </row>
    <row r="47" spans="1:34" ht="12.75">
      <c r="A47" s="36">
        <f t="shared" si="4"/>
        <v>25</v>
      </c>
      <c r="B47" s="19">
        <v>158</v>
      </c>
      <c r="C47" s="37">
        <f t="shared" si="5"/>
        <v>89486</v>
      </c>
      <c r="D47" s="38">
        <v>130</v>
      </c>
      <c r="E47">
        <f t="shared" si="6"/>
        <v>92925</v>
      </c>
      <c r="F47" s="39">
        <v>108</v>
      </c>
      <c r="G47" s="40">
        <f t="shared" si="7"/>
        <v>95010</v>
      </c>
      <c r="H47" s="41">
        <v>98</v>
      </c>
      <c r="I47" s="37">
        <f t="shared" si="8"/>
        <v>96945</v>
      </c>
      <c r="J47" s="19">
        <v>123</v>
      </c>
      <c r="K47" s="45">
        <f t="shared" si="10"/>
        <v>97799</v>
      </c>
      <c r="L47" s="36">
        <f t="shared" si="9"/>
        <v>25</v>
      </c>
      <c r="M47" s="44">
        <f t="shared" si="0"/>
        <v>98</v>
      </c>
      <c r="N47" s="44">
        <f t="shared" si="1"/>
        <v>96945</v>
      </c>
      <c r="O47" s="61">
        <f t="shared" si="2"/>
        <v>36365.69839451052</v>
      </c>
      <c r="P47" s="59">
        <f>SUM(O47:$O$131)</f>
        <v>783258.6719858364</v>
      </c>
      <c r="Q47" s="73">
        <f>SUM(P47:P$131)</f>
        <v>13733530.174910653</v>
      </c>
      <c r="R47" s="61">
        <f t="shared" si="3"/>
        <v>35.34754482777736</v>
      </c>
      <c r="S47" s="61">
        <f>SUM(R47:$R$131)</f>
        <v>6240.364856593705</v>
      </c>
      <c r="T47" s="59">
        <f>SUM(S47:$S$131)</f>
        <v>255045.97295081057</v>
      </c>
      <c r="U47" s="24"/>
      <c r="V47"/>
      <c r="W47"/>
      <c r="X47"/>
      <c r="Y47"/>
      <c r="Z47"/>
      <c r="AA47"/>
      <c r="AB47"/>
      <c r="AE47" s="53"/>
      <c r="AG47" s="50"/>
      <c r="AH47"/>
    </row>
    <row r="48" spans="1:34" ht="12.75">
      <c r="A48" s="36">
        <f t="shared" si="4"/>
        <v>26</v>
      </c>
      <c r="B48" s="19">
        <v>161</v>
      </c>
      <c r="C48" s="37">
        <f t="shared" si="5"/>
        <v>89328</v>
      </c>
      <c r="D48" s="38">
        <v>126</v>
      </c>
      <c r="E48">
        <f t="shared" si="6"/>
        <v>92795</v>
      </c>
      <c r="F48" s="39">
        <v>109</v>
      </c>
      <c r="G48" s="40">
        <f t="shared" si="7"/>
        <v>94902</v>
      </c>
      <c r="H48" s="41">
        <v>95</v>
      </c>
      <c r="I48" s="37">
        <f t="shared" si="8"/>
        <v>96847</v>
      </c>
      <c r="J48" s="19">
        <v>127</v>
      </c>
      <c r="K48" s="45">
        <f t="shared" si="10"/>
        <v>97676</v>
      </c>
      <c r="L48" s="36">
        <f t="shared" si="9"/>
        <v>26</v>
      </c>
      <c r="M48" s="44">
        <f t="shared" si="0"/>
        <v>95</v>
      </c>
      <c r="N48" s="44">
        <f t="shared" si="1"/>
        <v>96847</v>
      </c>
      <c r="O48" s="61">
        <f t="shared" si="2"/>
        <v>34931.67014220157</v>
      </c>
      <c r="P48" s="59">
        <f>SUM(O48:$O$131)</f>
        <v>746892.9735913258</v>
      </c>
      <c r="Q48" s="73">
        <f>SUM(P48:P$131)</f>
        <v>12950271.502924819</v>
      </c>
      <c r="R48" s="61">
        <f t="shared" si="3"/>
        <v>32.94757416246908</v>
      </c>
      <c r="S48" s="61">
        <f>SUM(R48:$R$131)</f>
        <v>6205.017311765926</v>
      </c>
      <c r="T48" s="59">
        <f>SUM(S48:$S$131)</f>
        <v>248805.60809421688</v>
      </c>
      <c r="U48" s="24"/>
      <c r="V48"/>
      <c r="W48"/>
      <c r="X48"/>
      <c r="Y48"/>
      <c r="Z48"/>
      <c r="AA48"/>
      <c r="AB48"/>
      <c r="AE48" s="53"/>
      <c r="AG48" s="50"/>
      <c r="AH48"/>
    </row>
    <row r="49" spans="1:34" ht="12.75">
      <c r="A49" s="36">
        <f t="shared" si="4"/>
        <v>27</v>
      </c>
      <c r="B49" s="19">
        <v>170</v>
      </c>
      <c r="C49" s="37">
        <f t="shared" si="5"/>
        <v>89167</v>
      </c>
      <c r="D49" s="38">
        <v>129</v>
      </c>
      <c r="E49">
        <f t="shared" si="6"/>
        <v>92669</v>
      </c>
      <c r="F49" s="39">
        <v>110</v>
      </c>
      <c r="G49" s="40">
        <f t="shared" si="7"/>
        <v>94793</v>
      </c>
      <c r="H49" s="41">
        <v>95</v>
      </c>
      <c r="I49" s="37">
        <f t="shared" si="8"/>
        <v>96752</v>
      </c>
      <c r="J49" s="19">
        <v>133</v>
      </c>
      <c r="K49" s="45">
        <f t="shared" si="10"/>
        <v>97549</v>
      </c>
      <c r="L49" s="36">
        <f t="shared" si="9"/>
        <v>27</v>
      </c>
      <c r="M49" s="44">
        <f t="shared" si="0"/>
        <v>95</v>
      </c>
      <c r="N49" s="44">
        <f t="shared" si="1"/>
        <v>96752</v>
      </c>
      <c r="O49" s="61">
        <f t="shared" si="2"/>
        <v>33555.19679333904</v>
      </c>
      <c r="P49" s="59">
        <f>SUM(O49:$O$131)</f>
        <v>711961.3034491242</v>
      </c>
      <c r="Q49" s="73">
        <f>SUM(P49:P$131)</f>
        <v>12203378.529333493</v>
      </c>
      <c r="R49" s="61">
        <f t="shared" si="3"/>
        <v>31.680359771604884</v>
      </c>
      <c r="S49" s="61">
        <f>SUM(R49:$R$131)</f>
        <v>6172.069737603458</v>
      </c>
      <c r="T49" s="59">
        <f>SUM(S49:$S$131)</f>
        <v>242600.59078245095</v>
      </c>
      <c r="U49" s="24"/>
      <c r="V49"/>
      <c r="W49"/>
      <c r="X49"/>
      <c r="Y49"/>
      <c r="Z49"/>
      <c r="AA49"/>
      <c r="AB49"/>
      <c r="AE49" s="53"/>
      <c r="AG49" s="50"/>
      <c r="AH49"/>
    </row>
    <row r="50" spans="1:34" ht="12.75">
      <c r="A50" s="36">
        <f t="shared" si="4"/>
        <v>28</v>
      </c>
      <c r="B50" s="19">
        <v>173</v>
      </c>
      <c r="C50" s="37">
        <f t="shared" si="5"/>
        <v>88997</v>
      </c>
      <c r="D50" s="38">
        <v>133</v>
      </c>
      <c r="E50">
        <f t="shared" si="6"/>
        <v>92540</v>
      </c>
      <c r="F50" s="39">
        <v>112</v>
      </c>
      <c r="G50" s="40">
        <f t="shared" si="7"/>
        <v>94683</v>
      </c>
      <c r="H50" s="41">
        <v>94</v>
      </c>
      <c r="I50" s="37">
        <f t="shared" si="8"/>
        <v>96657</v>
      </c>
      <c r="J50" s="19">
        <v>141</v>
      </c>
      <c r="K50" s="45">
        <f t="shared" si="10"/>
        <v>97416</v>
      </c>
      <c r="L50" s="36">
        <f t="shared" si="9"/>
        <v>28</v>
      </c>
      <c r="M50" s="44">
        <f t="shared" si="0"/>
        <v>94</v>
      </c>
      <c r="N50" s="44">
        <f t="shared" si="1"/>
        <v>96657</v>
      </c>
      <c r="O50" s="61">
        <f t="shared" si="2"/>
        <v>32232.931941515926</v>
      </c>
      <c r="P50" s="59">
        <f>SUM(O50:$O$131)</f>
        <v>678406.1066557852</v>
      </c>
      <c r="Q50" s="73">
        <f>SUM(P50:P$131)</f>
        <v>11491417.225884369</v>
      </c>
      <c r="R50" s="61">
        <f t="shared" si="3"/>
        <v>30.141232981081565</v>
      </c>
      <c r="S50" s="61">
        <f>SUM(R50:$R$131)</f>
        <v>6140.389377831853</v>
      </c>
      <c r="T50" s="59">
        <f>SUM(S50:$S$131)</f>
        <v>236428.5210448475</v>
      </c>
      <c r="U50" s="24"/>
      <c r="V50"/>
      <c r="W50"/>
      <c r="X50"/>
      <c r="Y50"/>
      <c r="Z50"/>
      <c r="AA50"/>
      <c r="AB50"/>
      <c r="AE50" s="53"/>
      <c r="AG50" s="50"/>
      <c r="AH50"/>
    </row>
    <row r="51" spans="1:34" ht="12.75">
      <c r="A51" s="36">
        <f t="shared" si="4"/>
        <v>29</v>
      </c>
      <c r="B51" s="19">
        <v>173</v>
      </c>
      <c r="C51" s="37">
        <f t="shared" si="5"/>
        <v>88824</v>
      </c>
      <c r="D51" s="38">
        <v>138</v>
      </c>
      <c r="E51">
        <f t="shared" si="6"/>
        <v>92407</v>
      </c>
      <c r="F51" s="39">
        <v>113</v>
      </c>
      <c r="G51" s="40">
        <f t="shared" si="7"/>
        <v>94571</v>
      </c>
      <c r="H51" s="41">
        <v>95</v>
      </c>
      <c r="I51" s="37">
        <f t="shared" si="8"/>
        <v>96563</v>
      </c>
      <c r="J51" s="19">
        <v>147</v>
      </c>
      <c r="K51" s="45">
        <f t="shared" si="10"/>
        <v>97275</v>
      </c>
      <c r="L51" s="36">
        <f t="shared" si="9"/>
        <v>29</v>
      </c>
      <c r="M51" s="44">
        <f t="shared" si="0"/>
        <v>95</v>
      </c>
      <c r="N51" s="44">
        <f t="shared" si="1"/>
        <v>96563</v>
      </c>
      <c r="O51" s="61">
        <f t="shared" si="2"/>
        <v>30963.062556938075</v>
      </c>
      <c r="P51" s="59">
        <f>SUM(O51:$O$131)</f>
        <v>646173.1747142692</v>
      </c>
      <c r="Q51" s="73">
        <f>SUM(P51:P$131)</f>
        <v>10813011.119228583</v>
      </c>
      <c r="R51" s="61">
        <f t="shared" si="3"/>
        <v>29.29027345747493</v>
      </c>
      <c r="S51" s="61">
        <f>SUM(R51:$R$131)</f>
        <v>6110.248144850771</v>
      </c>
      <c r="T51" s="59">
        <f>SUM(S51:$S$131)</f>
        <v>230288.1316670156</v>
      </c>
      <c r="U51" s="24"/>
      <c r="V51"/>
      <c r="W51"/>
      <c r="X51"/>
      <c r="Y51"/>
      <c r="Z51"/>
      <c r="AA51"/>
      <c r="AB51"/>
      <c r="AE51" s="53"/>
      <c r="AG51" s="50"/>
      <c r="AH51"/>
    </row>
    <row r="52" spans="1:34" ht="12.75">
      <c r="A52" s="36">
        <f t="shared" si="4"/>
        <v>30</v>
      </c>
      <c r="B52" s="19">
        <v>177</v>
      </c>
      <c r="C52" s="37">
        <f t="shared" si="5"/>
        <v>88651</v>
      </c>
      <c r="D52" s="38">
        <v>142</v>
      </c>
      <c r="E52">
        <f t="shared" si="6"/>
        <v>92269</v>
      </c>
      <c r="F52" s="39">
        <v>116</v>
      </c>
      <c r="G52" s="40">
        <f t="shared" si="7"/>
        <v>94458</v>
      </c>
      <c r="H52" s="41">
        <v>95</v>
      </c>
      <c r="I52" s="37">
        <f t="shared" si="8"/>
        <v>96468</v>
      </c>
      <c r="J52" s="19">
        <v>150</v>
      </c>
      <c r="K52" s="45">
        <f t="shared" si="10"/>
        <v>97128</v>
      </c>
      <c r="L52" s="36">
        <f t="shared" si="9"/>
        <v>30</v>
      </c>
      <c r="M52" s="44">
        <f t="shared" si="0"/>
        <v>95</v>
      </c>
      <c r="N52" s="44">
        <f t="shared" si="1"/>
        <v>96468</v>
      </c>
      <c r="O52" s="61">
        <f t="shared" si="2"/>
        <v>29742.885262059914</v>
      </c>
      <c r="P52" s="59">
        <f>SUM(O52:$O$131)</f>
        <v>615210.1121573312</v>
      </c>
      <c r="Q52" s="73">
        <f>SUM(P52:P$131)</f>
        <v>10166837.944514316</v>
      </c>
      <c r="R52" s="61">
        <f t="shared" si="3"/>
        <v>28.163724478341276</v>
      </c>
      <c r="S52" s="61">
        <f>SUM(R52:$R$131)</f>
        <v>6080.957871393296</v>
      </c>
      <c r="T52" s="59">
        <f>SUM(S52:$S$131)</f>
        <v>224177.88352216486</v>
      </c>
      <c r="U52" s="24"/>
      <c r="V52"/>
      <c r="W52"/>
      <c r="X52"/>
      <c r="Y52"/>
      <c r="Z52"/>
      <c r="AA52"/>
      <c r="AB52"/>
      <c r="AE52" s="53"/>
      <c r="AG52" s="50"/>
      <c r="AH52"/>
    </row>
    <row r="53" spans="1:34" ht="12.75">
      <c r="A53" s="36">
        <f t="shared" si="4"/>
        <v>31</v>
      </c>
      <c r="B53" s="19">
        <v>184</v>
      </c>
      <c r="C53" s="37">
        <f t="shared" si="5"/>
        <v>88474</v>
      </c>
      <c r="D53" s="38">
        <v>149</v>
      </c>
      <c r="E53">
        <f t="shared" si="6"/>
        <v>92127</v>
      </c>
      <c r="F53" s="39">
        <v>121</v>
      </c>
      <c r="G53" s="40">
        <f t="shared" si="7"/>
        <v>94342</v>
      </c>
      <c r="H53" s="41">
        <v>100</v>
      </c>
      <c r="I53" s="37">
        <f t="shared" si="8"/>
        <v>96373</v>
      </c>
      <c r="J53" s="19">
        <v>153</v>
      </c>
      <c r="K53" s="45">
        <f t="shared" si="10"/>
        <v>96978</v>
      </c>
      <c r="L53" s="36">
        <f t="shared" si="9"/>
        <v>31</v>
      </c>
      <c r="M53" s="44">
        <f t="shared" si="0"/>
        <v>100</v>
      </c>
      <c r="N53" s="44">
        <f t="shared" si="1"/>
        <v>96373</v>
      </c>
      <c r="O53" s="61">
        <f t="shared" si="2"/>
        <v>28570.764412117725</v>
      </c>
      <c r="P53" s="59">
        <f>SUM(O53:$O$131)</f>
        <v>585467.2268952713</v>
      </c>
      <c r="Q53" s="73">
        <f>SUM(P53:P$131)</f>
        <v>9551627.832356986</v>
      </c>
      <c r="R53" s="61">
        <f t="shared" si="3"/>
        <v>28.505794006418295</v>
      </c>
      <c r="S53" s="61">
        <f>SUM(R53:$R$131)</f>
        <v>6052.794146914955</v>
      </c>
      <c r="T53" s="59">
        <f>SUM(S53:$S$131)</f>
        <v>218096.92565077153</v>
      </c>
      <c r="U53" s="24"/>
      <c r="V53"/>
      <c r="W53"/>
      <c r="X53"/>
      <c r="Y53"/>
      <c r="Z53"/>
      <c r="AA53"/>
      <c r="AB53"/>
      <c r="AE53" s="53"/>
      <c r="AG53" s="50"/>
      <c r="AH53"/>
    </row>
    <row r="54" spans="1:34" ht="12.75">
      <c r="A54" s="36">
        <f t="shared" si="4"/>
        <v>32</v>
      </c>
      <c r="B54" s="19">
        <v>189</v>
      </c>
      <c r="C54" s="37">
        <f t="shared" si="5"/>
        <v>88290</v>
      </c>
      <c r="D54" s="38">
        <v>159</v>
      </c>
      <c r="E54">
        <f t="shared" si="6"/>
        <v>91978</v>
      </c>
      <c r="F54" s="39">
        <v>127</v>
      </c>
      <c r="G54" s="40">
        <f t="shared" si="7"/>
        <v>94221</v>
      </c>
      <c r="H54" s="41">
        <v>103</v>
      </c>
      <c r="I54" s="37">
        <f t="shared" si="8"/>
        <v>96273</v>
      </c>
      <c r="J54" s="19">
        <v>152</v>
      </c>
      <c r="K54" s="45">
        <f t="shared" si="10"/>
        <v>96825</v>
      </c>
      <c r="L54" s="36">
        <f t="shared" si="9"/>
        <v>32</v>
      </c>
      <c r="M54" s="44">
        <f aca="true" t="shared" si="11" ref="M54:M85">IF($C$6=71,F54,IF($C$6=81,H54,IF($C$6=51,B54,IF($C$6=61,D54,IF($C$6=92,J54)))))</f>
        <v>103</v>
      </c>
      <c r="N54" s="44">
        <f aca="true" t="shared" si="12" ref="N54:N85">IF($C$6=71,G54,IF($C$6=81,I54,IF($C$6=51,C54,IF($C$6=61,E54,IF($C$6=92,K54)))))</f>
        <v>96273</v>
      </c>
      <c r="O54" s="61">
        <f aca="true" t="shared" si="13" ref="O54:O85">((1+$C$7)^-A54)*IF($C$6=71,G54,IF($C$6=81,I54,IF($C$6=51,C54,IF($C$6=61,E54,IF($C$6=92,K54)))))</f>
        <v>27443.383063799083</v>
      </c>
      <c r="P54" s="59">
        <f>SUM(O54:$O$131)</f>
        <v>556896.4624831534</v>
      </c>
      <c r="Q54" s="73">
        <f>SUM(P54:P$131)</f>
        <v>8966160.605461715</v>
      </c>
      <c r="R54" s="61">
        <f aca="true" t="shared" si="14" ref="R54:R85">((1+$C$7)^-(A54+1))*IF($C$6=71,F54,IF($C$6=81,H54,IF($C$6=51,B54,IF($C$6=61,D54,IF($C$6=92,J54)))))</f>
        <v>28.231699833279656</v>
      </c>
      <c r="S54" s="61">
        <f>SUM(R54:$R$131)</f>
        <v>6024.288352908537</v>
      </c>
      <c r="T54" s="59">
        <f>SUM(S54:$S$131)</f>
        <v>212044.13150385657</v>
      </c>
      <c r="U54" s="24"/>
      <c r="V54"/>
      <c r="W54"/>
      <c r="X54"/>
      <c r="Y54"/>
      <c r="Z54"/>
      <c r="AA54"/>
      <c r="AB54"/>
      <c r="AE54" s="53"/>
      <c r="AG54" s="50"/>
      <c r="AH54"/>
    </row>
    <row r="55" spans="1:34" ht="12.75">
      <c r="A55" s="36">
        <f t="shared" si="4"/>
        <v>33</v>
      </c>
      <c r="B55" s="19">
        <v>194</v>
      </c>
      <c r="C55" s="37">
        <f t="shared" si="5"/>
        <v>88101</v>
      </c>
      <c r="D55" s="38">
        <v>166</v>
      </c>
      <c r="E55">
        <f t="shared" si="6"/>
        <v>91819</v>
      </c>
      <c r="F55" s="39">
        <v>135</v>
      </c>
      <c r="G55" s="40">
        <f t="shared" si="7"/>
        <v>94094</v>
      </c>
      <c r="H55" s="41">
        <v>104</v>
      </c>
      <c r="I55" s="37">
        <f t="shared" si="8"/>
        <v>96170</v>
      </c>
      <c r="J55" s="19">
        <v>148</v>
      </c>
      <c r="K55" s="45">
        <f t="shared" si="10"/>
        <v>96673</v>
      </c>
      <c r="L55" s="36">
        <f t="shared" si="9"/>
        <v>33</v>
      </c>
      <c r="M55" s="44">
        <f t="shared" si="11"/>
        <v>104</v>
      </c>
      <c r="N55" s="44">
        <f t="shared" si="12"/>
        <v>96170</v>
      </c>
      <c r="O55" s="61">
        <f t="shared" si="13"/>
        <v>26359.636630742763</v>
      </c>
      <c r="P55" s="59">
        <f>SUM(O55:$O$131)</f>
        <v>529453.0794193546</v>
      </c>
      <c r="Q55" s="73">
        <f>SUM(P55:P$131)</f>
        <v>8409264.142978562</v>
      </c>
      <c r="R55" s="61">
        <f t="shared" si="14"/>
        <v>27.409417313863745</v>
      </c>
      <c r="S55" s="61">
        <f>SUM(R55:$R$131)</f>
        <v>5996.056653075258</v>
      </c>
      <c r="T55" s="59">
        <f>SUM(S55:$S$131)</f>
        <v>206019.84315094803</v>
      </c>
      <c r="U55" s="24"/>
      <c r="V55"/>
      <c r="W55"/>
      <c r="X55"/>
      <c r="Y55"/>
      <c r="Z55"/>
      <c r="AA55"/>
      <c r="AB55"/>
      <c r="AE55" s="53"/>
      <c r="AG55" s="50"/>
      <c r="AH55"/>
    </row>
    <row r="56" spans="1:34" ht="12.75">
      <c r="A56" s="36">
        <f t="shared" si="4"/>
        <v>34</v>
      </c>
      <c r="B56" s="19">
        <v>206</v>
      </c>
      <c r="C56" s="37">
        <f t="shared" si="5"/>
        <v>87907</v>
      </c>
      <c r="D56" s="38">
        <v>172</v>
      </c>
      <c r="E56">
        <f t="shared" si="6"/>
        <v>91653</v>
      </c>
      <c r="F56" s="39">
        <v>144</v>
      </c>
      <c r="G56" s="40">
        <f t="shared" si="7"/>
        <v>93959</v>
      </c>
      <c r="H56" s="41">
        <v>112</v>
      </c>
      <c r="I56" s="37">
        <f t="shared" si="8"/>
        <v>96066</v>
      </c>
      <c r="J56" s="19">
        <v>146</v>
      </c>
      <c r="K56" s="45">
        <f t="shared" si="10"/>
        <v>96525</v>
      </c>
      <c r="L56" s="36">
        <f t="shared" si="9"/>
        <v>34</v>
      </c>
      <c r="M56" s="44">
        <f t="shared" si="11"/>
        <v>112</v>
      </c>
      <c r="N56" s="44">
        <f t="shared" si="12"/>
        <v>96066</v>
      </c>
      <c r="O56" s="61">
        <f t="shared" si="13"/>
        <v>25318.395035323407</v>
      </c>
      <c r="P56" s="59">
        <f>SUM(O56:$O$131)</f>
        <v>503093.4427886119</v>
      </c>
      <c r="Q56" s="73">
        <f>SUM(P56:P$131)</f>
        <v>7879811.063559204</v>
      </c>
      <c r="R56" s="61">
        <f t="shared" si="14"/>
        <v>28.382532721456535</v>
      </c>
      <c r="S56" s="61">
        <f>SUM(R56:$R$131)</f>
        <v>5968.647235761394</v>
      </c>
      <c r="T56" s="59">
        <f>SUM(S56:$S$131)</f>
        <v>200023.78649787273</v>
      </c>
      <c r="U56" s="24"/>
      <c r="V56"/>
      <c r="W56"/>
      <c r="X56"/>
      <c r="Y56"/>
      <c r="Z56"/>
      <c r="AA56"/>
      <c r="AB56"/>
      <c r="AE56" s="53"/>
      <c r="AG56" s="50"/>
      <c r="AH56"/>
    </row>
    <row r="57" spans="1:34" ht="12.75">
      <c r="A57" s="36">
        <f t="shared" si="4"/>
        <v>35</v>
      </c>
      <c r="B57" s="19">
        <v>218</v>
      </c>
      <c r="C57" s="37">
        <f t="shared" si="5"/>
        <v>87701</v>
      </c>
      <c r="D57" s="38">
        <v>179</v>
      </c>
      <c r="E57">
        <f t="shared" si="6"/>
        <v>91481</v>
      </c>
      <c r="F57" s="39">
        <v>156</v>
      </c>
      <c r="G57" s="40">
        <f t="shared" si="7"/>
        <v>93815</v>
      </c>
      <c r="H57" s="41">
        <v>117</v>
      </c>
      <c r="I57" s="37">
        <f t="shared" si="8"/>
        <v>95954</v>
      </c>
      <c r="J57" s="19">
        <v>145</v>
      </c>
      <c r="K57" s="45">
        <f t="shared" si="10"/>
        <v>96379</v>
      </c>
      <c r="L57" s="36">
        <f t="shared" si="9"/>
        <v>35</v>
      </c>
      <c r="M57" s="44">
        <f t="shared" si="11"/>
        <v>117</v>
      </c>
      <c r="N57" s="44">
        <f t="shared" si="12"/>
        <v>95954</v>
      </c>
      <c r="O57" s="61">
        <f t="shared" si="13"/>
        <v>24316.22807816643</v>
      </c>
      <c r="P57" s="59">
        <f>SUM(O57:$O$131)</f>
        <v>477775.0477532886</v>
      </c>
      <c r="Q57" s="73">
        <f>SUM(P57:P$131)</f>
        <v>7376717.620770593</v>
      </c>
      <c r="R57" s="61">
        <f t="shared" si="14"/>
        <v>28.509240456820184</v>
      </c>
      <c r="S57" s="61">
        <f>SUM(R57:$R$131)</f>
        <v>5940.264703039936</v>
      </c>
      <c r="T57" s="59">
        <f>SUM(S57:$S$131)</f>
        <v>194055.13926211133</v>
      </c>
      <c r="U57" s="24"/>
      <c r="V57"/>
      <c r="W57"/>
      <c r="X57"/>
      <c r="Y57"/>
      <c r="Z57"/>
      <c r="AA57"/>
      <c r="AB57"/>
      <c r="AE57" s="53"/>
      <c r="AG57" s="50"/>
      <c r="AH57"/>
    </row>
    <row r="58" spans="1:34" ht="12.75">
      <c r="A58" s="36">
        <f t="shared" si="4"/>
        <v>36</v>
      </c>
      <c r="B58" s="19">
        <v>227</v>
      </c>
      <c r="C58" s="37">
        <f t="shared" si="5"/>
        <v>87483</v>
      </c>
      <c r="D58" s="38">
        <v>196</v>
      </c>
      <c r="E58">
        <f t="shared" si="6"/>
        <v>91302</v>
      </c>
      <c r="F58" s="39">
        <v>170</v>
      </c>
      <c r="G58" s="40">
        <f t="shared" si="7"/>
        <v>93659</v>
      </c>
      <c r="H58" s="41">
        <v>128</v>
      </c>
      <c r="I58" s="37">
        <f t="shared" si="8"/>
        <v>95837</v>
      </c>
      <c r="J58" s="19">
        <v>144</v>
      </c>
      <c r="K58" s="45">
        <f t="shared" si="10"/>
        <v>96234</v>
      </c>
      <c r="L58" s="36">
        <f t="shared" si="9"/>
        <v>36</v>
      </c>
      <c r="M58" s="44">
        <f t="shared" si="11"/>
        <v>128</v>
      </c>
      <c r="N58" s="44">
        <f t="shared" si="12"/>
        <v>95837</v>
      </c>
      <c r="O58" s="61">
        <f t="shared" si="13"/>
        <v>23352.479296241676</v>
      </c>
      <c r="P58" s="59">
        <f>SUM(O58:$O$131)</f>
        <v>453458.8196751221</v>
      </c>
      <c r="Q58" s="73">
        <f>SUM(P58:P$131)</f>
        <v>6898942.573017305</v>
      </c>
      <c r="R58" s="61">
        <f t="shared" si="14"/>
        <v>29.98999653577402</v>
      </c>
      <c r="S58" s="61">
        <f>SUM(R58:$R$131)</f>
        <v>5911.755462583117</v>
      </c>
      <c r="T58" s="59">
        <f>SUM(S58:$S$131)</f>
        <v>188114.8745590714</v>
      </c>
      <c r="U58" s="24"/>
      <c r="V58"/>
      <c r="W58"/>
      <c r="X58"/>
      <c r="Y58"/>
      <c r="Z58"/>
      <c r="AA58"/>
      <c r="AB58"/>
      <c r="AG58" s="50"/>
      <c r="AH58"/>
    </row>
    <row r="59" spans="1:33" ht="12.75">
      <c r="A59" s="36">
        <f t="shared" si="4"/>
        <v>37</v>
      </c>
      <c r="B59" s="19">
        <v>236</v>
      </c>
      <c r="C59" s="37">
        <f t="shared" si="5"/>
        <v>87256</v>
      </c>
      <c r="D59" s="38">
        <v>209</v>
      </c>
      <c r="E59">
        <f t="shared" si="6"/>
        <v>91106</v>
      </c>
      <c r="F59" s="39">
        <v>187</v>
      </c>
      <c r="G59" s="40">
        <f t="shared" si="7"/>
        <v>93489</v>
      </c>
      <c r="H59" s="41">
        <v>144</v>
      </c>
      <c r="I59" s="37">
        <f t="shared" si="8"/>
        <v>95709</v>
      </c>
      <c r="J59" s="19">
        <v>147</v>
      </c>
      <c r="K59" s="45">
        <f t="shared" si="10"/>
        <v>96090</v>
      </c>
      <c r="L59" s="36">
        <f t="shared" si="9"/>
        <v>37</v>
      </c>
      <c r="M59" s="44">
        <f t="shared" si="11"/>
        <v>144</v>
      </c>
      <c r="N59" s="44">
        <f t="shared" si="12"/>
        <v>95709</v>
      </c>
      <c r="O59" s="61">
        <f t="shared" si="13"/>
        <v>22424.317019081216</v>
      </c>
      <c r="P59" s="59">
        <f>SUM(O59:$O$131)</f>
        <v>430106.34037888044</v>
      </c>
      <c r="Q59" s="73">
        <f>SUM(P59:P$131)</f>
        <v>6445483.753342182</v>
      </c>
      <c r="R59" s="61">
        <f t="shared" si="14"/>
        <v>32.44110202187094</v>
      </c>
      <c r="S59" s="61">
        <f>SUM(R59:$R$131)</f>
        <v>5881.765466047343</v>
      </c>
      <c r="T59" s="59">
        <f>SUM(S59:$S$131)</f>
        <v>182203.11909648828</v>
      </c>
      <c r="U59" s="24"/>
      <c r="V59"/>
      <c r="W59"/>
      <c r="X59"/>
      <c r="Y59"/>
      <c r="Z59"/>
      <c r="AA59"/>
      <c r="AB59"/>
      <c r="AG59" s="50"/>
    </row>
    <row r="60" spans="1:33" ht="12.75">
      <c r="A60" s="36">
        <f t="shared" si="4"/>
        <v>38</v>
      </c>
      <c r="B60" s="19">
        <v>250</v>
      </c>
      <c r="C60" s="37">
        <f t="shared" si="5"/>
        <v>87020</v>
      </c>
      <c r="D60" s="38">
        <v>223</v>
      </c>
      <c r="E60">
        <f t="shared" si="6"/>
        <v>90897</v>
      </c>
      <c r="F60" s="39">
        <v>206</v>
      </c>
      <c r="G60" s="40">
        <f t="shared" si="7"/>
        <v>93302</v>
      </c>
      <c r="H60" s="41">
        <v>162</v>
      </c>
      <c r="I60" s="37">
        <f t="shared" si="8"/>
        <v>95565</v>
      </c>
      <c r="J60" s="19">
        <v>154</v>
      </c>
      <c r="K60" s="45">
        <f t="shared" si="10"/>
        <v>95943</v>
      </c>
      <c r="L60" s="36">
        <f t="shared" si="9"/>
        <v>38</v>
      </c>
      <c r="M60" s="44">
        <f t="shared" si="11"/>
        <v>162</v>
      </c>
      <c r="N60" s="44">
        <f t="shared" si="12"/>
        <v>95565</v>
      </c>
      <c r="O60" s="61">
        <f t="shared" si="13"/>
        <v>21529.402185556224</v>
      </c>
      <c r="P60" s="59">
        <f>SUM(O60:$O$131)</f>
        <v>407682.02335979923</v>
      </c>
      <c r="Q60" s="73">
        <f>SUM(P60:P$131)</f>
        <v>6015377.412963302</v>
      </c>
      <c r="R60" s="61">
        <f t="shared" si="14"/>
        <v>35.09253824481232</v>
      </c>
      <c r="S60" s="61">
        <f>SUM(R60:$R$131)</f>
        <v>5849.324364025472</v>
      </c>
      <c r="T60" s="59">
        <f>SUM(S60:$S$131)</f>
        <v>176321.35363044095</v>
      </c>
      <c r="U60" s="24"/>
      <c r="V60"/>
      <c r="W60"/>
      <c r="X60"/>
      <c r="Y60"/>
      <c r="Z60"/>
      <c r="AA60"/>
      <c r="AB60"/>
      <c r="AG60" s="50"/>
    </row>
    <row r="61" spans="1:33" ht="12.75">
      <c r="A61" s="36">
        <f t="shared" si="4"/>
        <v>39</v>
      </c>
      <c r="B61" s="19">
        <v>265</v>
      </c>
      <c r="C61" s="37">
        <f t="shared" si="5"/>
        <v>86770</v>
      </c>
      <c r="D61" s="38">
        <v>241</v>
      </c>
      <c r="E61">
        <f t="shared" si="6"/>
        <v>90674</v>
      </c>
      <c r="F61" s="39">
        <v>226</v>
      </c>
      <c r="G61" s="40">
        <f t="shared" si="7"/>
        <v>93096</v>
      </c>
      <c r="H61" s="41">
        <v>179</v>
      </c>
      <c r="I61" s="37">
        <f t="shared" si="8"/>
        <v>95403</v>
      </c>
      <c r="J61" s="19">
        <v>158</v>
      </c>
      <c r="K61" s="45">
        <f t="shared" si="10"/>
        <v>95789</v>
      </c>
      <c r="L61" s="36">
        <f t="shared" si="9"/>
        <v>39</v>
      </c>
      <c r="M61" s="44">
        <f t="shared" si="11"/>
        <v>179</v>
      </c>
      <c r="N61" s="44">
        <f t="shared" si="12"/>
        <v>95403</v>
      </c>
      <c r="O61" s="61">
        <f t="shared" si="13"/>
        <v>20666.255717097712</v>
      </c>
      <c r="P61" s="59">
        <f>SUM(O61:$O$131)</f>
        <v>386152.62117424305</v>
      </c>
      <c r="Q61" s="73">
        <f>SUM(P61:P$131)</f>
        <v>5607695.389603502</v>
      </c>
      <c r="R61" s="61">
        <f t="shared" si="14"/>
        <v>37.28373899466644</v>
      </c>
      <c r="S61" s="61">
        <f>SUM(R61:$R$131)</f>
        <v>5814.231825780659</v>
      </c>
      <c r="T61" s="59">
        <f>SUM(S61:$S$131)</f>
        <v>170472.02926641548</v>
      </c>
      <c r="U61" s="24"/>
      <c r="V61"/>
      <c r="W61"/>
      <c r="X61"/>
      <c r="Y61"/>
      <c r="Z61"/>
      <c r="AA61"/>
      <c r="AB61"/>
      <c r="AG61" s="50"/>
    </row>
    <row r="62" spans="1:33" ht="12.75">
      <c r="A62" s="36">
        <f t="shared" si="4"/>
        <v>40</v>
      </c>
      <c r="B62" s="19">
        <v>290</v>
      </c>
      <c r="C62" s="37">
        <f t="shared" si="5"/>
        <v>86505</v>
      </c>
      <c r="D62" s="38">
        <v>262</v>
      </c>
      <c r="E62">
        <f t="shared" si="6"/>
        <v>90433</v>
      </c>
      <c r="F62" s="39">
        <v>249</v>
      </c>
      <c r="G62" s="40">
        <f t="shared" si="7"/>
        <v>92870</v>
      </c>
      <c r="H62" s="41">
        <v>199</v>
      </c>
      <c r="I62" s="37">
        <f t="shared" si="8"/>
        <v>95224</v>
      </c>
      <c r="J62" s="19">
        <v>167</v>
      </c>
      <c r="K62" s="45">
        <f t="shared" si="10"/>
        <v>95631</v>
      </c>
      <c r="L62" s="36">
        <f t="shared" si="9"/>
        <v>40</v>
      </c>
      <c r="M62" s="44">
        <f t="shared" si="11"/>
        <v>199</v>
      </c>
      <c r="N62" s="44">
        <f t="shared" si="12"/>
        <v>95224</v>
      </c>
      <c r="O62" s="61">
        <f t="shared" si="13"/>
        <v>19834.115988983896</v>
      </c>
      <c r="P62" s="59">
        <f>SUM(O62:$O$131)</f>
        <v>365486.3654571452</v>
      </c>
      <c r="Q62" s="73">
        <f>SUM(P62:P$131)</f>
        <v>5221542.768429261</v>
      </c>
      <c r="R62" s="61">
        <f t="shared" si="14"/>
        <v>39.855307584543525</v>
      </c>
      <c r="S62" s="61">
        <f>SUM(R62:$R$131)</f>
        <v>5776.948086785993</v>
      </c>
      <c r="T62" s="59">
        <f>SUM(S62:$S$131)</f>
        <v>164657.79744063484</v>
      </c>
      <c r="U62" s="24"/>
      <c r="V62"/>
      <c r="W62"/>
      <c r="X62"/>
      <c r="Y62"/>
      <c r="Z62"/>
      <c r="AA62"/>
      <c r="AB62"/>
      <c r="AG62" s="50"/>
    </row>
    <row r="63" spans="1:33" ht="12.75">
      <c r="A63" s="36">
        <f t="shared" si="4"/>
        <v>41</v>
      </c>
      <c r="B63" s="19">
        <v>318</v>
      </c>
      <c r="C63" s="37">
        <f t="shared" si="5"/>
        <v>86215</v>
      </c>
      <c r="D63" s="38">
        <v>276</v>
      </c>
      <c r="E63">
        <f t="shared" si="6"/>
        <v>90171</v>
      </c>
      <c r="F63" s="39">
        <v>274</v>
      </c>
      <c r="G63" s="40">
        <f t="shared" si="7"/>
        <v>92621</v>
      </c>
      <c r="H63" s="41">
        <v>218</v>
      </c>
      <c r="I63" s="37">
        <f t="shared" si="8"/>
        <v>95025</v>
      </c>
      <c r="J63" s="19">
        <v>181</v>
      </c>
      <c r="K63" s="45">
        <f t="shared" si="10"/>
        <v>95464</v>
      </c>
      <c r="L63" s="36">
        <f t="shared" si="9"/>
        <v>41</v>
      </c>
      <c r="M63" s="44">
        <f t="shared" si="11"/>
        <v>218</v>
      </c>
      <c r="N63" s="44">
        <f t="shared" si="12"/>
        <v>95025</v>
      </c>
      <c r="O63" s="61">
        <f t="shared" si="13"/>
        <v>19031.41006643843</v>
      </c>
      <c r="P63" s="59">
        <f>SUM(O63:$O$131)</f>
        <v>345652.2494681613</v>
      </c>
      <c r="Q63" s="73">
        <f>SUM(P63:P$131)</f>
        <v>4856056.402972114</v>
      </c>
      <c r="R63" s="61">
        <f t="shared" si="14"/>
        <v>41.98133481557059</v>
      </c>
      <c r="S63" s="61">
        <f>SUM(R63:$R$131)</f>
        <v>5737.092779201449</v>
      </c>
      <c r="T63" s="59">
        <f>SUM(S63:$S$131)</f>
        <v>158880.8493538488</v>
      </c>
      <c r="U63" s="24"/>
      <c r="V63"/>
      <c r="W63"/>
      <c r="X63"/>
      <c r="Y63"/>
      <c r="Z63"/>
      <c r="AA63"/>
      <c r="AB63"/>
      <c r="AG63" s="50"/>
    </row>
    <row r="64" spans="1:33" ht="12.75">
      <c r="A64" s="36">
        <f t="shared" si="4"/>
        <v>42</v>
      </c>
      <c r="B64" s="19">
        <v>352</v>
      </c>
      <c r="C64" s="37">
        <f t="shared" si="5"/>
        <v>85897</v>
      </c>
      <c r="D64" s="38">
        <v>296</v>
      </c>
      <c r="E64">
        <f t="shared" si="6"/>
        <v>89895</v>
      </c>
      <c r="F64" s="39">
        <v>304</v>
      </c>
      <c r="G64" s="40">
        <f t="shared" si="7"/>
        <v>92347</v>
      </c>
      <c r="H64" s="41">
        <v>240</v>
      </c>
      <c r="I64" s="37">
        <f t="shared" si="8"/>
        <v>94807</v>
      </c>
      <c r="J64" s="19">
        <v>196</v>
      </c>
      <c r="K64" s="45">
        <f t="shared" si="10"/>
        <v>95283</v>
      </c>
      <c r="L64" s="36">
        <f t="shared" si="9"/>
        <v>42</v>
      </c>
      <c r="M64" s="44">
        <f t="shared" si="11"/>
        <v>240</v>
      </c>
      <c r="N64" s="44">
        <f t="shared" si="12"/>
        <v>94807</v>
      </c>
      <c r="O64" s="61">
        <f t="shared" si="13"/>
        <v>18257.451421375234</v>
      </c>
      <c r="P64" s="59">
        <f>SUM(O64:$O$131)</f>
        <v>326620.8394017229</v>
      </c>
      <c r="Q64" s="73">
        <f>SUM(P64:P$131)</f>
        <v>4510404.153503954</v>
      </c>
      <c r="R64" s="61">
        <f t="shared" si="14"/>
        <v>44.44036854153555</v>
      </c>
      <c r="S64" s="61">
        <f>SUM(R64:$R$131)</f>
        <v>5695.111444385879</v>
      </c>
      <c r="T64" s="59">
        <f>SUM(S64:$S$131)</f>
        <v>153143.75657464738</v>
      </c>
      <c r="U64" s="24"/>
      <c r="V64"/>
      <c r="W64"/>
      <c r="X64"/>
      <c r="Y64"/>
      <c r="Z64"/>
      <c r="AA64"/>
      <c r="AB64"/>
      <c r="AG64" s="50"/>
    </row>
    <row r="65" spans="1:33" ht="12.75">
      <c r="A65" s="36">
        <f t="shared" si="4"/>
        <v>43</v>
      </c>
      <c r="B65" s="19">
        <v>384</v>
      </c>
      <c r="C65" s="37">
        <f t="shared" si="5"/>
        <v>85545</v>
      </c>
      <c r="D65" s="38">
        <v>324</v>
      </c>
      <c r="E65">
        <f t="shared" si="6"/>
        <v>89599</v>
      </c>
      <c r="F65" s="39">
        <v>338</v>
      </c>
      <c r="G65" s="40">
        <f t="shared" si="7"/>
        <v>92043</v>
      </c>
      <c r="H65" s="41">
        <v>264</v>
      </c>
      <c r="I65" s="37">
        <f t="shared" si="8"/>
        <v>94567</v>
      </c>
      <c r="J65" s="19">
        <v>214</v>
      </c>
      <c r="K65" s="45">
        <f t="shared" si="10"/>
        <v>95087</v>
      </c>
      <c r="L65" s="36">
        <f t="shared" si="9"/>
        <v>43</v>
      </c>
      <c r="M65" s="44">
        <f t="shared" si="11"/>
        <v>264</v>
      </c>
      <c r="N65" s="44">
        <f t="shared" si="12"/>
        <v>94567</v>
      </c>
      <c r="O65" s="61">
        <f t="shared" si="13"/>
        <v>17510.801382780803</v>
      </c>
      <c r="P65" s="59">
        <f>SUM(O65:$O$131)</f>
        <v>308363.3879803476</v>
      </c>
      <c r="Q65" s="73">
        <f>SUM(P65:P$131)</f>
        <v>4183783.314102231</v>
      </c>
      <c r="R65" s="61">
        <f t="shared" si="14"/>
        <v>47.00423595739337</v>
      </c>
      <c r="S65" s="61">
        <f>SUM(R65:$R$131)</f>
        <v>5650.671075844343</v>
      </c>
      <c r="T65" s="59">
        <f>SUM(S65:$S$131)</f>
        <v>147448.64513026152</v>
      </c>
      <c r="U65" s="24"/>
      <c r="V65"/>
      <c r="W65"/>
      <c r="X65"/>
      <c r="Y65"/>
      <c r="Z65"/>
      <c r="AA65"/>
      <c r="AB65"/>
      <c r="AG65" s="50"/>
    </row>
    <row r="66" spans="1:33" ht="12.75">
      <c r="A66" s="36">
        <f t="shared" si="4"/>
        <v>44</v>
      </c>
      <c r="B66" s="19">
        <v>424</v>
      </c>
      <c r="C66" s="37">
        <f t="shared" si="5"/>
        <v>85161</v>
      </c>
      <c r="D66" s="38">
        <v>363</v>
      </c>
      <c r="E66">
        <f t="shared" si="6"/>
        <v>89275</v>
      </c>
      <c r="F66" s="39">
        <v>373</v>
      </c>
      <c r="G66" s="40">
        <f t="shared" si="7"/>
        <v>91705</v>
      </c>
      <c r="H66" s="41">
        <v>300</v>
      </c>
      <c r="I66" s="37">
        <f t="shared" si="8"/>
        <v>94303</v>
      </c>
      <c r="J66" s="19">
        <v>235</v>
      </c>
      <c r="K66" s="45">
        <f t="shared" si="10"/>
        <v>94873</v>
      </c>
      <c r="L66" s="36">
        <f t="shared" si="9"/>
        <v>44</v>
      </c>
      <c r="M66" s="44">
        <f t="shared" si="11"/>
        <v>300</v>
      </c>
      <c r="N66" s="44">
        <f t="shared" si="12"/>
        <v>94303</v>
      </c>
      <c r="O66" s="61">
        <f t="shared" si="13"/>
        <v>16790.30478594722</v>
      </c>
      <c r="P66" s="59">
        <f>SUM(O66:$O$131)</f>
        <v>290852.5865975668</v>
      </c>
      <c r="Q66" s="73">
        <f>SUM(P66:P$131)</f>
        <v>3875419.9261218836</v>
      </c>
      <c r="R66" s="61">
        <f t="shared" si="14"/>
        <v>51.359523554844145</v>
      </c>
      <c r="S66" s="61">
        <f>SUM(R66:$R$131)</f>
        <v>5603.66683988695</v>
      </c>
      <c r="T66" s="59">
        <f>SUM(S66:$S$131)</f>
        <v>141797.97405441717</v>
      </c>
      <c r="U66" s="24"/>
      <c r="V66"/>
      <c r="W66"/>
      <c r="X66"/>
      <c r="Y66"/>
      <c r="Z66"/>
      <c r="AA66"/>
      <c r="AB66"/>
      <c r="AG66" s="50"/>
    </row>
    <row r="67" spans="1:33" ht="12.75">
      <c r="A67" s="36">
        <f t="shared" si="4"/>
        <v>45</v>
      </c>
      <c r="B67" s="19">
        <v>467</v>
      </c>
      <c r="C67" s="37">
        <f t="shared" si="5"/>
        <v>84737</v>
      </c>
      <c r="D67" s="38">
        <v>394</v>
      </c>
      <c r="E67">
        <f t="shared" si="6"/>
        <v>88912</v>
      </c>
      <c r="F67" s="39">
        <v>411</v>
      </c>
      <c r="G67" s="40">
        <f t="shared" si="7"/>
        <v>91332</v>
      </c>
      <c r="H67" s="41">
        <v>341</v>
      </c>
      <c r="I67" s="37">
        <f t="shared" si="8"/>
        <v>94003</v>
      </c>
      <c r="J67" s="19">
        <v>255</v>
      </c>
      <c r="K67" s="45">
        <f t="shared" si="10"/>
        <v>94638</v>
      </c>
      <c r="L67" s="36">
        <f t="shared" si="9"/>
        <v>45</v>
      </c>
      <c r="M67" s="44">
        <f t="shared" si="11"/>
        <v>341</v>
      </c>
      <c r="N67" s="44">
        <f t="shared" si="12"/>
        <v>94003</v>
      </c>
      <c r="O67" s="61">
        <f t="shared" si="13"/>
        <v>16093.164309086713</v>
      </c>
      <c r="P67" s="59">
        <f>SUM(O67:$O$131)</f>
        <v>274062.2818116196</v>
      </c>
      <c r="Q67" s="73">
        <f>SUM(P67:P$131)</f>
        <v>3584567.339524316</v>
      </c>
      <c r="R67" s="61">
        <f t="shared" si="14"/>
        <v>56.133325423723896</v>
      </c>
      <c r="S67" s="61">
        <f>SUM(R67:$R$131)</f>
        <v>5552.307316332105</v>
      </c>
      <c r="T67" s="59">
        <f>SUM(S67:$S$131)</f>
        <v>136194.30721453024</v>
      </c>
      <c r="U67" s="24"/>
      <c r="V67"/>
      <c r="W67"/>
      <c r="X67"/>
      <c r="Y67"/>
      <c r="Z67"/>
      <c r="AA67"/>
      <c r="AB67"/>
      <c r="AG67" s="50"/>
    </row>
    <row r="68" spans="1:33" ht="12.75">
      <c r="A68" s="36">
        <f t="shared" si="4"/>
        <v>46</v>
      </c>
      <c r="B68" s="19">
        <v>507</v>
      </c>
      <c r="C68" s="37">
        <f t="shared" si="5"/>
        <v>84270</v>
      </c>
      <c r="D68" s="38">
        <v>427</v>
      </c>
      <c r="E68">
        <f t="shared" si="6"/>
        <v>88518</v>
      </c>
      <c r="F68" s="39">
        <v>450</v>
      </c>
      <c r="G68" s="40">
        <f t="shared" si="7"/>
        <v>90921</v>
      </c>
      <c r="H68" s="41">
        <v>388</v>
      </c>
      <c r="I68" s="37">
        <f t="shared" si="8"/>
        <v>93662</v>
      </c>
      <c r="J68" s="19">
        <v>285</v>
      </c>
      <c r="K68" s="45">
        <f t="shared" si="10"/>
        <v>94383</v>
      </c>
      <c r="L68" s="36">
        <f t="shared" si="9"/>
        <v>46</v>
      </c>
      <c r="M68" s="44">
        <f t="shared" si="11"/>
        <v>388</v>
      </c>
      <c r="N68" s="44">
        <f t="shared" si="12"/>
        <v>93662</v>
      </c>
      <c r="O68" s="61">
        <f t="shared" si="13"/>
        <v>15418.063125621195</v>
      </c>
      <c r="P68" s="59">
        <f>SUM(O68:$O$131)</f>
        <v>257969.11750253275</v>
      </c>
      <c r="Q68" s="73">
        <f>SUM(P68:P$131)</f>
        <v>3310505.057712697</v>
      </c>
      <c r="R68" s="61">
        <f t="shared" si="14"/>
        <v>61.413631469673106</v>
      </c>
      <c r="S68" s="61">
        <f>SUM(R68:$R$131)</f>
        <v>5496.173990908382</v>
      </c>
      <c r="T68" s="59">
        <f>SUM(S68:$S$131)</f>
        <v>130641.9998981981</v>
      </c>
      <c r="U68" s="24"/>
      <c r="V68"/>
      <c r="W68"/>
      <c r="X68"/>
      <c r="Y68"/>
      <c r="Z68"/>
      <c r="AA68"/>
      <c r="AB68"/>
      <c r="AG68" s="50"/>
    </row>
    <row r="69" spans="1:33" ht="12.75">
      <c r="A69" s="36">
        <f t="shared" si="4"/>
        <v>47</v>
      </c>
      <c r="B69" s="19">
        <v>554</v>
      </c>
      <c r="C69" s="37">
        <f t="shared" si="5"/>
        <v>83763</v>
      </c>
      <c r="D69" s="38">
        <v>462</v>
      </c>
      <c r="E69">
        <f t="shared" si="6"/>
        <v>88091</v>
      </c>
      <c r="F69" s="39">
        <v>489</v>
      </c>
      <c r="G69" s="40">
        <f t="shared" si="7"/>
        <v>90471</v>
      </c>
      <c r="H69" s="41">
        <v>437</v>
      </c>
      <c r="I69" s="37">
        <f t="shared" si="8"/>
        <v>93274</v>
      </c>
      <c r="J69" s="19">
        <v>325</v>
      </c>
      <c r="K69" s="45">
        <f t="shared" si="10"/>
        <v>94098</v>
      </c>
      <c r="L69" s="36">
        <f t="shared" si="9"/>
        <v>47</v>
      </c>
      <c r="M69" s="44">
        <f t="shared" si="11"/>
        <v>437</v>
      </c>
      <c r="N69" s="44">
        <f t="shared" si="12"/>
        <v>93274</v>
      </c>
      <c r="O69" s="61">
        <f t="shared" si="13"/>
        <v>14763.647066243015</v>
      </c>
      <c r="P69" s="59">
        <f>SUM(O69:$O$131)</f>
        <v>242551.05437691158</v>
      </c>
      <c r="Q69" s="73">
        <f>SUM(P69:P$131)</f>
        <v>3052535.940210164</v>
      </c>
      <c r="R69" s="61">
        <f t="shared" si="14"/>
        <v>66.50911219331667</v>
      </c>
      <c r="S69" s="61">
        <f>SUM(R69:$R$131)</f>
        <v>5434.760359438708</v>
      </c>
      <c r="T69" s="59">
        <f>SUM(S69:$S$131)</f>
        <v>125145.82590728973</v>
      </c>
      <c r="U69" s="24"/>
      <c r="V69"/>
      <c r="W69"/>
      <c r="X69"/>
      <c r="Y69"/>
      <c r="Z69"/>
      <c r="AA69"/>
      <c r="AB69"/>
      <c r="AG69" s="50"/>
    </row>
    <row r="70" spans="1:33" ht="12.75">
      <c r="A70" s="36">
        <f t="shared" si="4"/>
        <v>48</v>
      </c>
      <c r="B70" s="19">
        <v>604</v>
      </c>
      <c r="C70" s="37">
        <f t="shared" si="5"/>
        <v>83209</v>
      </c>
      <c r="D70" s="38">
        <v>507</v>
      </c>
      <c r="E70">
        <f t="shared" si="6"/>
        <v>87629</v>
      </c>
      <c r="F70" s="39">
        <v>534</v>
      </c>
      <c r="G70" s="40">
        <f t="shared" si="7"/>
        <v>89982</v>
      </c>
      <c r="H70" s="41">
        <v>485</v>
      </c>
      <c r="I70" s="37">
        <f t="shared" si="8"/>
        <v>92837</v>
      </c>
      <c r="J70" s="19">
        <v>361</v>
      </c>
      <c r="K70" s="45">
        <f t="shared" si="10"/>
        <v>93773</v>
      </c>
      <c r="L70" s="36">
        <f t="shared" si="9"/>
        <v>48</v>
      </c>
      <c r="M70" s="44">
        <f t="shared" si="11"/>
        <v>485</v>
      </c>
      <c r="N70" s="44">
        <f t="shared" si="12"/>
        <v>92837</v>
      </c>
      <c r="O70" s="61">
        <f t="shared" si="13"/>
        <v>14129.305374578811</v>
      </c>
      <c r="P70" s="59">
        <f>SUM(O70:$O$131)</f>
        <v>227787.40731066858</v>
      </c>
      <c r="Q70" s="73">
        <f>SUM(P70:P$131)</f>
        <v>2809984.885833252</v>
      </c>
      <c r="R70" s="61">
        <f t="shared" si="14"/>
        <v>70.97544317408595</v>
      </c>
      <c r="S70" s="61">
        <f>SUM(R70:$R$131)</f>
        <v>5368.251247245392</v>
      </c>
      <c r="T70" s="59">
        <f>SUM(S70:$S$131)</f>
        <v>119711.06554785102</v>
      </c>
      <c r="U70" s="24"/>
      <c r="V70"/>
      <c r="W70"/>
      <c r="X70"/>
      <c r="Y70"/>
      <c r="Z70"/>
      <c r="AA70"/>
      <c r="AB70"/>
      <c r="AG70" s="50"/>
    </row>
    <row r="71" spans="1:33" ht="12.75">
      <c r="A71" s="36">
        <f t="shared" si="4"/>
        <v>49</v>
      </c>
      <c r="B71" s="19">
        <v>661</v>
      </c>
      <c r="C71" s="37">
        <f t="shared" si="5"/>
        <v>82605</v>
      </c>
      <c r="D71" s="38">
        <v>558</v>
      </c>
      <c r="E71">
        <f t="shared" si="6"/>
        <v>87122</v>
      </c>
      <c r="F71" s="39">
        <v>581</v>
      </c>
      <c r="G71" s="40">
        <f t="shared" si="7"/>
        <v>89448</v>
      </c>
      <c r="H71" s="41">
        <v>530</v>
      </c>
      <c r="I71" s="37">
        <f t="shared" si="8"/>
        <v>92352</v>
      </c>
      <c r="J71" s="19">
        <v>395</v>
      </c>
      <c r="K71" s="45">
        <f t="shared" si="10"/>
        <v>93412</v>
      </c>
      <c r="L71" s="36">
        <f t="shared" si="9"/>
        <v>49</v>
      </c>
      <c r="M71" s="44">
        <f t="shared" si="11"/>
        <v>530</v>
      </c>
      <c r="N71" s="44">
        <f t="shared" si="12"/>
        <v>92352</v>
      </c>
      <c r="O71" s="61">
        <f t="shared" si="13"/>
        <v>13514.895109305538</v>
      </c>
      <c r="P71" s="59">
        <f>SUM(O71:$O$131)</f>
        <v>213658.10193608978</v>
      </c>
      <c r="Q71" s="73">
        <f>SUM(P71:P$131)</f>
        <v>2582197.478522584</v>
      </c>
      <c r="R71" s="61">
        <f t="shared" si="14"/>
        <v>74.57768612661688</v>
      </c>
      <c r="S71" s="61">
        <f>SUM(R71:$R$131)</f>
        <v>5297.275804071306</v>
      </c>
      <c r="T71" s="59">
        <f>SUM(S71:$S$131)</f>
        <v>114342.81430060563</v>
      </c>
      <c r="U71" s="24"/>
      <c r="V71"/>
      <c r="W71"/>
      <c r="X71"/>
      <c r="Y71"/>
      <c r="Z71"/>
      <c r="AA71"/>
      <c r="AB71"/>
      <c r="AG71" s="50"/>
    </row>
    <row r="72" spans="1:33" ht="12.75">
      <c r="A72" s="36">
        <f t="shared" si="4"/>
        <v>50</v>
      </c>
      <c r="B72" s="19">
        <v>713</v>
      </c>
      <c r="C72" s="37">
        <f t="shared" si="5"/>
        <v>81944</v>
      </c>
      <c r="D72" s="38">
        <v>616</v>
      </c>
      <c r="E72">
        <f t="shared" si="6"/>
        <v>86564</v>
      </c>
      <c r="F72" s="39">
        <v>634</v>
      </c>
      <c r="G72" s="40">
        <f t="shared" si="7"/>
        <v>88867</v>
      </c>
      <c r="H72" s="41">
        <v>590</v>
      </c>
      <c r="I72" s="115">
        <f t="shared" si="8"/>
        <v>91822</v>
      </c>
      <c r="J72" s="19">
        <v>428</v>
      </c>
      <c r="K72" s="45">
        <f t="shared" si="10"/>
        <v>93017</v>
      </c>
      <c r="L72" s="36">
        <f t="shared" si="9"/>
        <v>50</v>
      </c>
      <c r="M72" s="44">
        <f t="shared" si="11"/>
        <v>590</v>
      </c>
      <c r="N72" s="44">
        <f t="shared" si="12"/>
        <v>91822</v>
      </c>
      <c r="O72" s="128">
        <f t="shared" si="13"/>
        <v>12920.513765128708</v>
      </c>
      <c r="P72" s="129">
        <f>SUM(O72:$O$131)</f>
        <v>200143.2068267842</v>
      </c>
      <c r="Q72" s="73">
        <f>SUM(P72:P$131)</f>
        <v>2368539.3765864936</v>
      </c>
      <c r="R72" s="61">
        <f t="shared" si="14"/>
        <v>79.82734908328003</v>
      </c>
      <c r="S72" s="61">
        <f>SUM(R72:$R$131)</f>
        <v>5222.698117944689</v>
      </c>
      <c r="T72" s="59">
        <f>SUM(S72:$S$131)</f>
        <v>109045.53849653433</v>
      </c>
      <c r="U72" s="24"/>
      <c r="V72"/>
      <c r="W72"/>
      <c r="X72"/>
      <c r="Y72"/>
      <c r="Z72"/>
      <c r="AA72"/>
      <c r="AB72"/>
      <c r="AG72" s="50"/>
    </row>
    <row r="73" spans="1:33" ht="12.75">
      <c r="A73" s="36">
        <f t="shared" si="4"/>
        <v>51</v>
      </c>
      <c r="B73" s="19">
        <v>770</v>
      </c>
      <c r="C73" s="37">
        <f t="shared" si="5"/>
        <v>81231</v>
      </c>
      <c r="D73" s="38">
        <v>683</v>
      </c>
      <c r="E73">
        <f t="shared" si="6"/>
        <v>85948</v>
      </c>
      <c r="F73" s="39">
        <v>694</v>
      </c>
      <c r="G73" s="40">
        <f t="shared" si="7"/>
        <v>88233</v>
      </c>
      <c r="H73" s="41">
        <v>658</v>
      </c>
      <c r="I73" s="115">
        <f t="shared" si="8"/>
        <v>91232</v>
      </c>
      <c r="J73" s="19">
        <v>459</v>
      </c>
      <c r="K73" s="45">
        <f t="shared" si="10"/>
        <v>92589</v>
      </c>
      <c r="L73" s="36">
        <f t="shared" si="9"/>
        <v>51</v>
      </c>
      <c r="M73" s="44">
        <f t="shared" si="11"/>
        <v>658</v>
      </c>
      <c r="N73" s="44">
        <f t="shared" si="12"/>
        <v>91232</v>
      </c>
      <c r="O73" s="61">
        <f t="shared" si="13"/>
        <v>12343.74357892509</v>
      </c>
      <c r="P73" s="59">
        <f>SUM(O73:$O$131)</f>
        <v>187222.69306165553</v>
      </c>
      <c r="Q73" s="73">
        <f>SUM(P73:P$131)</f>
        <v>2168396.1697597103</v>
      </c>
      <c r="R73" s="61">
        <f t="shared" si="14"/>
        <v>85.60364357366079</v>
      </c>
      <c r="S73" s="61">
        <f>SUM(R73:$R$131)</f>
        <v>5142.870768861409</v>
      </c>
      <c r="T73" s="59">
        <f>SUM(S73:$S$131)</f>
        <v>103822.84037858964</v>
      </c>
      <c r="U73" s="24"/>
      <c r="V73"/>
      <c r="W73"/>
      <c r="X73"/>
      <c r="Y73"/>
      <c r="Z73"/>
      <c r="AA73"/>
      <c r="AB73"/>
      <c r="AG73" s="50"/>
    </row>
    <row r="74" spans="1:33" ht="12.75">
      <c r="A74" s="36">
        <f t="shared" si="4"/>
        <v>52</v>
      </c>
      <c r="B74" s="19">
        <v>829</v>
      </c>
      <c r="C74" s="37">
        <f t="shared" si="5"/>
        <v>80461</v>
      </c>
      <c r="D74" s="38">
        <v>757</v>
      </c>
      <c r="E74">
        <f t="shared" si="6"/>
        <v>85265</v>
      </c>
      <c r="F74" s="39">
        <v>758</v>
      </c>
      <c r="G74" s="40">
        <f t="shared" si="7"/>
        <v>87539</v>
      </c>
      <c r="H74" s="41">
        <v>733</v>
      </c>
      <c r="I74" s="115">
        <f t="shared" si="8"/>
        <v>90574</v>
      </c>
      <c r="J74" s="19">
        <v>505</v>
      </c>
      <c r="K74" s="45">
        <f t="shared" si="10"/>
        <v>92130</v>
      </c>
      <c r="L74" s="36">
        <f t="shared" si="9"/>
        <v>52</v>
      </c>
      <c r="M74" s="44">
        <f t="shared" si="11"/>
        <v>733</v>
      </c>
      <c r="N74" s="44">
        <f t="shared" si="12"/>
        <v>90574</v>
      </c>
      <c r="O74" s="61">
        <f t="shared" si="13"/>
        <v>11783.380566931235</v>
      </c>
      <c r="P74" s="59">
        <f>SUM(O74:$O$131)</f>
        <v>174878.94948273044</v>
      </c>
      <c r="Q74" s="73">
        <f>SUM(P74:P$131)</f>
        <v>1981173.4766980559</v>
      </c>
      <c r="R74" s="61">
        <f t="shared" si="14"/>
        <v>91.69317094267791</v>
      </c>
      <c r="S74" s="61">
        <f>SUM(R74:$R$131)</f>
        <v>5057.267125287747</v>
      </c>
      <c r="T74" s="59">
        <f>SUM(S74:$S$131)</f>
        <v>98679.96960972824</v>
      </c>
      <c r="U74" s="24"/>
      <c r="V74"/>
      <c r="W74"/>
      <c r="X74"/>
      <c r="Y74"/>
      <c r="Z74"/>
      <c r="AA74"/>
      <c r="AB74"/>
      <c r="AG74" s="50"/>
    </row>
    <row r="75" spans="1:33" ht="12.75">
      <c r="A75" s="36">
        <f t="shared" si="4"/>
        <v>53</v>
      </c>
      <c r="B75" s="19">
        <v>892</v>
      </c>
      <c r="C75" s="37">
        <f t="shared" si="5"/>
        <v>79632</v>
      </c>
      <c r="D75" s="38">
        <v>835</v>
      </c>
      <c r="E75">
        <f t="shared" si="6"/>
        <v>84508</v>
      </c>
      <c r="F75" s="39">
        <v>825</v>
      </c>
      <c r="G75" s="40">
        <f t="shared" si="7"/>
        <v>86781</v>
      </c>
      <c r="H75" s="41">
        <v>809</v>
      </c>
      <c r="I75" s="115">
        <f t="shared" si="8"/>
        <v>89841</v>
      </c>
      <c r="J75" s="19">
        <v>566</v>
      </c>
      <c r="K75" s="45">
        <f t="shared" si="10"/>
        <v>91625</v>
      </c>
      <c r="L75" s="36">
        <f t="shared" si="9"/>
        <v>53</v>
      </c>
      <c r="M75" s="44">
        <f t="shared" si="11"/>
        <v>809</v>
      </c>
      <c r="N75" s="44">
        <f t="shared" si="12"/>
        <v>89841</v>
      </c>
      <c r="O75" s="61">
        <f t="shared" si="13"/>
        <v>11238.480451106583</v>
      </c>
      <c r="P75" s="59">
        <f>SUM(O75:$O$131)</f>
        <v>163095.56891579923</v>
      </c>
      <c r="Q75" s="73">
        <f>SUM(P75:P$131)</f>
        <v>1806294.5272153257</v>
      </c>
      <c r="R75" s="61">
        <f t="shared" si="14"/>
        <v>97.30792225394379</v>
      </c>
      <c r="S75" s="61">
        <f>SUM(R75:$R$131)</f>
        <v>4965.573954345069</v>
      </c>
      <c r="T75" s="59">
        <f>SUM(S75:$S$131)</f>
        <v>93622.7024844405</v>
      </c>
      <c r="U75" s="24"/>
      <c r="V75"/>
      <c r="W75"/>
      <c r="X75"/>
      <c r="Y75"/>
      <c r="Z75"/>
      <c r="AA75"/>
      <c r="AB75"/>
      <c r="AG75" s="50"/>
    </row>
    <row r="76" spans="1:33" ht="12.75">
      <c r="A76" s="36">
        <f t="shared" si="4"/>
        <v>54</v>
      </c>
      <c r="B76" s="19">
        <v>943</v>
      </c>
      <c r="C76" s="37">
        <f t="shared" si="5"/>
        <v>78740</v>
      </c>
      <c r="D76" s="38">
        <v>918</v>
      </c>
      <c r="E76">
        <f t="shared" si="6"/>
        <v>83673</v>
      </c>
      <c r="F76" s="39">
        <v>897</v>
      </c>
      <c r="G76" s="40">
        <f t="shared" si="7"/>
        <v>85956</v>
      </c>
      <c r="H76" s="41">
        <v>891</v>
      </c>
      <c r="I76" s="115">
        <f t="shared" si="8"/>
        <v>89032</v>
      </c>
      <c r="J76" s="19">
        <v>628</v>
      </c>
      <c r="K76" s="45">
        <f t="shared" si="10"/>
        <v>91059</v>
      </c>
      <c r="L76" s="36">
        <f t="shared" si="9"/>
        <v>54</v>
      </c>
      <c r="M76" s="44">
        <f t="shared" si="11"/>
        <v>891</v>
      </c>
      <c r="N76" s="44">
        <f t="shared" si="12"/>
        <v>89032</v>
      </c>
      <c r="O76" s="61">
        <f t="shared" si="13"/>
        <v>10708.923280733157</v>
      </c>
      <c r="P76" s="59">
        <f>SUM(O76:$O$131)</f>
        <v>151857.08846469267</v>
      </c>
      <c r="Q76" s="73">
        <f>SUM(P76:P$131)</f>
        <v>1643198.9582995265</v>
      </c>
      <c r="R76" s="61">
        <f t="shared" si="14"/>
        <v>103.04906190960341</v>
      </c>
      <c r="S76" s="61">
        <f>SUM(R76:$R$131)</f>
        <v>4868.266032091125</v>
      </c>
      <c r="T76" s="59">
        <f>SUM(S76:$S$131)</f>
        <v>88657.12853009542</v>
      </c>
      <c r="U76" s="24"/>
      <c r="V76"/>
      <c r="W76"/>
      <c r="X76"/>
      <c r="Y76"/>
      <c r="Z76"/>
      <c r="AA76"/>
      <c r="AB76"/>
      <c r="AG76" s="50"/>
    </row>
    <row r="77" spans="1:33" ht="12.75">
      <c r="A77" s="36">
        <f t="shared" si="4"/>
        <v>55</v>
      </c>
      <c r="B77" s="19">
        <v>1017</v>
      </c>
      <c r="C77" s="37">
        <f t="shared" si="5"/>
        <v>77797</v>
      </c>
      <c r="D77" s="38">
        <v>1005</v>
      </c>
      <c r="E77">
        <f t="shared" si="6"/>
        <v>82755</v>
      </c>
      <c r="F77" s="39">
        <v>968</v>
      </c>
      <c r="G77" s="40">
        <f t="shared" si="7"/>
        <v>85059</v>
      </c>
      <c r="H77" s="41">
        <v>976</v>
      </c>
      <c r="I77" s="115">
        <f t="shared" si="8"/>
        <v>88141</v>
      </c>
      <c r="J77" s="19">
        <v>703</v>
      </c>
      <c r="K77" s="45">
        <f t="shared" si="10"/>
        <v>90431</v>
      </c>
      <c r="L77" s="36">
        <f t="shared" si="9"/>
        <v>55</v>
      </c>
      <c r="M77" s="44">
        <f t="shared" si="11"/>
        <v>976</v>
      </c>
      <c r="N77" s="44">
        <f t="shared" si="12"/>
        <v>88141</v>
      </c>
      <c r="O77" s="61">
        <f t="shared" si="13"/>
        <v>10193.992554179971</v>
      </c>
      <c r="P77" s="129">
        <f>SUM(O77:$O$131)</f>
        <v>141148.16518395947</v>
      </c>
      <c r="Q77" s="73">
        <f>SUM(P77:P$131)</f>
        <v>1491341.8698348338</v>
      </c>
      <c r="R77" s="61">
        <f t="shared" si="14"/>
        <v>108.53825047890544</v>
      </c>
      <c r="S77" s="61">
        <f>SUM(R77:$R$131)</f>
        <v>4765.216970181521</v>
      </c>
      <c r="T77" s="59">
        <f>SUM(S77:$S$131)</f>
        <v>83788.8624980043</v>
      </c>
      <c r="U77" s="24"/>
      <c r="V77"/>
      <c r="W77"/>
      <c r="X77"/>
      <c r="Y77"/>
      <c r="Z77"/>
      <c r="AA77"/>
      <c r="AB77"/>
      <c r="AG77" s="50"/>
    </row>
    <row r="78" spans="1:33" ht="12.75">
      <c r="A78" s="36">
        <f t="shared" si="4"/>
        <v>56</v>
      </c>
      <c r="B78" s="19">
        <v>1089</v>
      </c>
      <c r="C78" s="37">
        <f t="shared" si="5"/>
        <v>76780</v>
      </c>
      <c r="D78" s="38">
        <v>1103</v>
      </c>
      <c r="E78">
        <f t="shared" si="6"/>
        <v>81750</v>
      </c>
      <c r="F78" s="39">
        <v>1045</v>
      </c>
      <c r="G78" s="40">
        <f t="shared" si="7"/>
        <v>84091</v>
      </c>
      <c r="H78" s="41">
        <v>1070</v>
      </c>
      <c r="I78" s="115">
        <f t="shared" si="8"/>
        <v>87165</v>
      </c>
      <c r="J78" s="19">
        <v>779</v>
      </c>
      <c r="K78" s="45">
        <f t="shared" si="10"/>
        <v>89728</v>
      </c>
      <c r="L78" s="36">
        <f t="shared" si="9"/>
        <v>56</v>
      </c>
      <c r="M78" s="44">
        <f t="shared" si="11"/>
        <v>1070</v>
      </c>
      <c r="N78" s="44">
        <f t="shared" si="12"/>
        <v>87165</v>
      </c>
      <c r="O78" s="61">
        <f t="shared" si="13"/>
        <v>9693.377667001836</v>
      </c>
      <c r="P78" s="59">
        <f>SUM(O78:$O$131)</f>
        <v>130954.17262977955</v>
      </c>
      <c r="Q78" s="73">
        <f>SUM(P78:P$131)</f>
        <v>1350193.7046508742</v>
      </c>
      <c r="R78" s="61">
        <f t="shared" si="14"/>
        <v>114.41512453935685</v>
      </c>
      <c r="S78" s="61">
        <f>SUM(R78:$R$131)</f>
        <v>4656.678719702617</v>
      </c>
      <c r="T78" s="59">
        <f>SUM(S78:$S$131)</f>
        <v>79023.6455278228</v>
      </c>
      <c r="U78" s="24"/>
      <c r="V78"/>
      <c r="W78"/>
      <c r="X78"/>
      <c r="Y78"/>
      <c r="Z78"/>
      <c r="AA78"/>
      <c r="AB78"/>
      <c r="AG78" s="50"/>
    </row>
    <row r="79" spans="1:33" ht="12.75">
      <c r="A79" s="36">
        <f t="shared" si="4"/>
        <v>57</v>
      </c>
      <c r="B79" s="19">
        <v>1176</v>
      </c>
      <c r="C79" s="37">
        <f t="shared" si="5"/>
        <v>75691</v>
      </c>
      <c r="D79" s="38">
        <v>1195</v>
      </c>
      <c r="E79">
        <f t="shared" si="6"/>
        <v>80647</v>
      </c>
      <c r="F79" s="39">
        <v>1129</v>
      </c>
      <c r="G79" s="40">
        <f t="shared" si="7"/>
        <v>83046</v>
      </c>
      <c r="H79" s="41">
        <v>1155</v>
      </c>
      <c r="I79" s="115">
        <f t="shared" si="8"/>
        <v>86095</v>
      </c>
      <c r="J79" s="19">
        <v>861</v>
      </c>
      <c r="K79" s="45">
        <f t="shared" si="10"/>
        <v>88949</v>
      </c>
      <c r="L79" s="36">
        <f t="shared" si="9"/>
        <v>57</v>
      </c>
      <c r="M79" s="44">
        <f t="shared" si="11"/>
        <v>1155</v>
      </c>
      <c r="N79" s="44">
        <f t="shared" si="12"/>
        <v>86095</v>
      </c>
      <c r="O79" s="61">
        <f t="shared" si="13"/>
        <v>9206.140324500868</v>
      </c>
      <c r="P79" s="59">
        <f>SUM(O79:$O$131)</f>
        <v>121260.7949627777</v>
      </c>
      <c r="Q79" s="73">
        <f>SUM(P79:P$131)</f>
        <v>1219239.5320210946</v>
      </c>
      <c r="R79" s="61">
        <f t="shared" si="14"/>
        <v>118.75401585456254</v>
      </c>
      <c r="S79" s="61">
        <f>SUM(R79:$R$131)</f>
        <v>4542.26359516326</v>
      </c>
      <c r="T79" s="59">
        <f>SUM(S79:$S$131)</f>
        <v>74366.96680812017</v>
      </c>
      <c r="U79" s="24"/>
      <c r="V79"/>
      <c r="W79"/>
      <c r="X79"/>
      <c r="Y79"/>
      <c r="Z79"/>
      <c r="AA79"/>
      <c r="AB79"/>
      <c r="AG79" s="50"/>
    </row>
    <row r="80" spans="1:33" ht="12.75">
      <c r="A80" s="36">
        <f t="shared" si="4"/>
        <v>58</v>
      </c>
      <c r="B80" s="19">
        <v>1245</v>
      </c>
      <c r="C80" s="37">
        <f t="shared" si="5"/>
        <v>74515</v>
      </c>
      <c r="D80" s="38">
        <v>1284</v>
      </c>
      <c r="E80">
        <f t="shared" si="6"/>
        <v>79452</v>
      </c>
      <c r="F80" s="39">
        <v>1218</v>
      </c>
      <c r="G80" s="40">
        <f t="shared" si="7"/>
        <v>81917</v>
      </c>
      <c r="H80" s="41">
        <v>1235</v>
      </c>
      <c r="I80" s="115">
        <f t="shared" si="8"/>
        <v>84940</v>
      </c>
      <c r="J80" s="19">
        <v>952</v>
      </c>
      <c r="K80" s="45">
        <f t="shared" si="10"/>
        <v>88088</v>
      </c>
      <c r="L80" s="36">
        <f t="shared" si="9"/>
        <v>58</v>
      </c>
      <c r="M80" s="44">
        <f t="shared" si="11"/>
        <v>1235</v>
      </c>
      <c r="N80" s="44">
        <f t="shared" si="12"/>
        <v>84940</v>
      </c>
      <c r="O80" s="61">
        <f t="shared" si="13"/>
        <v>8733.303988473195</v>
      </c>
      <c r="P80" s="129">
        <f>SUM(O80:$O$131)</f>
        <v>112054.65463827684</v>
      </c>
      <c r="Q80" s="73">
        <f>SUM(P80:P$131)</f>
        <v>1097978.737058317</v>
      </c>
      <c r="R80" s="61">
        <f t="shared" si="14"/>
        <v>122.09557907124936</v>
      </c>
      <c r="S80" s="61">
        <f>SUM(R80:$R$131)</f>
        <v>4423.509579308697</v>
      </c>
      <c r="T80" s="59">
        <f>SUM(S80:$S$131)</f>
        <v>69824.7032129569</v>
      </c>
      <c r="U80" s="24"/>
      <c r="V80"/>
      <c r="W80"/>
      <c r="X80"/>
      <c r="Y80"/>
      <c r="Z80"/>
      <c r="AA80"/>
      <c r="AB80"/>
      <c r="AG80" s="50"/>
    </row>
    <row r="81" spans="1:33" ht="12.75">
      <c r="A81" s="36">
        <f t="shared" si="4"/>
        <v>59</v>
      </c>
      <c r="B81" s="19">
        <v>1325</v>
      </c>
      <c r="C81" s="37">
        <f t="shared" si="5"/>
        <v>73270</v>
      </c>
      <c r="D81" s="38">
        <v>1378</v>
      </c>
      <c r="E81">
        <f t="shared" si="6"/>
        <v>78168</v>
      </c>
      <c r="F81" s="39">
        <v>1319</v>
      </c>
      <c r="G81" s="40">
        <f t="shared" si="7"/>
        <v>80699</v>
      </c>
      <c r="H81" s="41">
        <v>1360</v>
      </c>
      <c r="I81" s="37">
        <f t="shared" si="8"/>
        <v>83705</v>
      </c>
      <c r="J81" s="19">
        <v>1051</v>
      </c>
      <c r="K81" s="45">
        <f t="shared" si="10"/>
        <v>87136</v>
      </c>
      <c r="L81" s="36">
        <f t="shared" si="9"/>
        <v>59</v>
      </c>
      <c r="M81" s="44">
        <f t="shared" si="11"/>
        <v>1360</v>
      </c>
      <c r="N81" s="44">
        <f t="shared" si="12"/>
        <v>83705</v>
      </c>
      <c r="O81" s="61">
        <f t="shared" si="13"/>
        <v>8275.312102152977</v>
      </c>
      <c r="P81" s="59">
        <f>SUM(O81:$O$131)</f>
        <v>103321.35064980364</v>
      </c>
      <c r="Q81" s="73">
        <f>SUM(P81:P$131)</f>
        <v>985924.0824200395</v>
      </c>
      <c r="R81" s="61">
        <f t="shared" si="14"/>
        <v>129.28214538842968</v>
      </c>
      <c r="S81" s="61">
        <f>SUM(R81:$R$131)</f>
        <v>4301.414000237447</v>
      </c>
      <c r="T81" s="59">
        <f>SUM(S81:$S$131)</f>
        <v>65401.19363364824</v>
      </c>
      <c r="U81" s="24"/>
      <c r="V81"/>
      <c r="W81"/>
      <c r="X81"/>
      <c r="Y81"/>
      <c r="Z81"/>
      <c r="AA81"/>
      <c r="AB81"/>
      <c r="AG81" s="50"/>
    </row>
    <row r="82" spans="1:33" ht="12.75">
      <c r="A82" s="36">
        <f t="shared" si="4"/>
        <v>60</v>
      </c>
      <c r="B82" s="19">
        <v>1391</v>
      </c>
      <c r="C82" s="37">
        <f t="shared" si="5"/>
        <v>71945</v>
      </c>
      <c r="D82" s="38">
        <v>1485</v>
      </c>
      <c r="E82">
        <f t="shared" si="6"/>
        <v>76790</v>
      </c>
      <c r="F82" s="39">
        <v>1426</v>
      </c>
      <c r="G82" s="40">
        <f t="shared" si="7"/>
        <v>79380</v>
      </c>
      <c r="H82" s="41">
        <v>1446</v>
      </c>
      <c r="I82" s="37">
        <f t="shared" si="8"/>
        <v>82345</v>
      </c>
      <c r="J82" s="19">
        <v>1154</v>
      </c>
      <c r="K82" s="45">
        <f t="shared" si="10"/>
        <v>86085</v>
      </c>
      <c r="L82" s="36">
        <f t="shared" si="9"/>
        <v>60</v>
      </c>
      <c r="M82" s="44">
        <f t="shared" si="11"/>
        <v>1446</v>
      </c>
      <c r="N82" s="44">
        <f t="shared" si="12"/>
        <v>82345</v>
      </c>
      <c r="O82" s="61">
        <f t="shared" si="13"/>
        <v>7827.748722066354</v>
      </c>
      <c r="P82" s="59">
        <f>SUM(O82:$O$131)</f>
        <v>95046.03854765068</v>
      </c>
      <c r="Q82" s="73">
        <f>SUM(P82:P$131)</f>
        <v>882602.7317702358</v>
      </c>
      <c r="R82" s="61">
        <f t="shared" si="14"/>
        <v>132.17051911175716</v>
      </c>
      <c r="S82" s="61">
        <f>SUM(R82:$R$131)</f>
        <v>4172.131854849017</v>
      </c>
      <c r="T82" s="59">
        <f>SUM(S82:$S$131)</f>
        <v>61099.779633410806</v>
      </c>
      <c r="U82" s="24"/>
      <c r="V82"/>
      <c r="W82"/>
      <c r="X82"/>
      <c r="Y82"/>
      <c r="Z82"/>
      <c r="AA82"/>
      <c r="AB82"/>
      <c r="AG82" s="50"/>
    </row>
    <row r="83" spans="1:28" ht="12.75">
      <c r="A83" s="36">
        <f t="shared" si="4"/>
        <v>61</v>
      </c>
      <c r="B83" s="19">
        <v>1473</v>
      </c>
      <c r="C83" s="37">
        <f t="shared" si="5"/>
        <v>70554</v>
      </c>
      <c r="D83" s="38">
        <v>1603</v>
      </c>
      <c r="E83">
        <f t="shared" si="6"/>
        <v>75305</v>
      </c>
      <c r="F83" s="39">
        <v>1543</v>
      </c>
      <c r="G83" s="40">
        <f t="shared" si="7"/>
        <v>77954</v>
      </c>
      <c r="H83" s="41">
        <v>1541</v>
      </c>
      <c r="I83" s="37">
        <f t="shared" si="8"/>
        <v>80899</v>
      </c>
      <c r="J83" s="19">
        <v>1262</v>
      </c>
      <c r="K83" s="45">
        <f t="shared" si="10"/>
        <v>84931</v>
      </c>
      <c r="L83" s="36">
        <f t="shared" si="9"/>
        <v>61</v>
      </c>
      <c r="M83" s="44">
        <f t="shared" si="11"/>
        <v>1541</v>
      </c>
      <c r="N83" s="44">
        <f t="shared" si="12"/>
        <v>80899</v>
      </c>
      <c r="O83" s="61">
        <f t="shared" si="13"/>
        <v>7394.510944413583</v>
      </c>
      <c r="P83" s="59">
        <f>SUM(O83:$O$131)</f>
        <v>87218.28982558432</v>
      </c>
      <c r="Q83" s="73">
        <f>SUM(P83:P$131)</f>
        <v>787556.6932225851</v>
      </c>
      <c r="R83" s="61">
        <f t="shared" si="14"/>
        <v>135.43646262316324</v>
      </c>
      <c r="S83" s="61">
        <f>SUM(R83:$R$131)</f>
        <v>4039.9613357372596</v>
      </c>
      <c r="T83" s="59">
        <f>SUM(S83:$S$131)</f>
        <v>56927.64777856178</v>
      </c>
      <c r="U83" s="24"/>
      <c r="V83"/>
      <c r="W83"/>
      <c r="X83"/>
      <c r="Y83"/>
      <c r="Z83"/>
      <c r="AA83"/>
      <c r="AB83"/>
    </row>
    <row r="84" spans="1:28" ht="12.75">
      <c r="A84" s="36">
        <f t="shared" si="4"/>
        <v>62</v>
      </c>
      <c r="B84" s="19">
        <v>1564</v>
      </c>
      <c r="C84" s="37">
        <f t="shared" si="5"/>
        <v>69081</v>
      </c>
      <c r="D84" s="38">
        <v>1701</v>
      </c>
      <c r="E84">
        <f t="shared" si="6"/>
        <v>73702</v>
      </c>
      <c r="F84" s="39">
        <v>1667</v>
      </c>
      <c r="G84" s="40">
        <f t="shared" si="7"/>
        <v>76411</v>
      </c>
      <c r="H84" s="41">
        <v>1628</v>
      </c>
      <c r="I84" s="37">
        <f t="shared" si="8"/>
        <v>79358</v>
      </c>
      <c r="J84" s="19">
        <v>1375</v>
      </c>
      <c r="K84" s="45">
        <f t="shared" si="10"/>
        <v>83669</v>
      </c>
      <c r="L84" s="36">
        <f t="shared" si="9"/>
        <v>62</v>
      </c>
      <c r="M84" s="44">
        <f t="shared" si="11"/>
        <v>1628</v>
      </c>
      <c r="N84" s="44">
        <f t="shared" si="12"/>
        <v>79358</v>
      </c>
      <c r="O84" s="61">
        <f t="shared" si="13"/>
        <v>6974.67021469759</v>
      </c>
      <c r="P84" s="59">
        <f>SUM(O84:$O$131)</f>
        <v>79823.77888117074</v>
      </c>
      <c r="Q84" s="73">
        <f>SUM(P84:P$131)</f>
        <v>700338.4033970009</v>
      </c>
      <c r="R84" s="61">
        <f t="shared" si="14"/>
        <v>137.57959438832785</v>
      </c>
      <c r="S84" s="61">
        <f>SUM(R84:$R$131)</f>
        <v>3904.5248731140964</v>
      </c>
      <c r="T84" s="59">
        <f>SUM(S84:$S$131)</f>
        <v>52887.686442824524</v>
      </c>
      <c r="U84" s="24"/>
      <c r="V84"/>
      <c r="W84"/>
      <c r="X84"/>
      <c r="Y84"/>
      <c r="Z84"/>
      <c r="AA84"/>
      <c r="AB84"/>
    </row>
    <row r="85" spans="1:28" ht="12.75">
      <c r="A85" s="36">
        <f t="shared" si="4"/>
        <v>63</v>
      </c>
      <c r="B85" s="19">
        <v>1644</v>
      </c>
      <c r="C85" s="37">
        <f t="shared" si="5"/>
        <v>67517</v>
      </c>
      <c r="D85" s="38">
        <v>1790</v>
      </c>
      <c r="E85">
        <f t="shared" si="6"/>
        <v>72001</v>
      </c>
      <c r="F85" s="39">
        <v>1790</v>
      </c>
      <c r="G85" s="40">
        <f t="shared" si="7"/>
        <v>74744</v>
      </c>
      <c r="H85" s="41">
        <v>1712</v>
      </c>
      <c r="I85" s="37">
        <f t="shared" si="8"/>
        <v>77730</v>
      </c>
      <c r="J85" s="19">
        <v>1490</v>
      </c>
      <c r="K85" s="45">
        <f t="shared" si="10"/>
        <v>82294</v>
      </c>
      <c r="L85" s="36">
        <f t="shared" si="9"/>
        <v>63</v>
      </c>
      <c r="M85" s="44">
        <f t="shared" si="11"/>
        <v>1712</v>
      </c>
      <c r="N85" s="44">
        <f t="shared" si="12"/>
        <v>77730</v>
      </c>
      <c r="O85" s="61">
        <f t="shared" si="13"/>
        <v>6568.834073590125</v>
      </c>
      <c r="P85" s="59">
        <f>SUM(O85:$O$131)</f>
        <v>72849.10866647314</v>
      </c>
      <c r="Q85" s="73">
        <f>SUM(P85:P$131)</f>
        <v>620514.6245158301</v>
      </c>
      <c r="R85" s="61">
        <f t="shared" si="14"/>
        <v>139.11374597950365</v>
      </c>
      <c r="S85" s="61">
        <f>SUM(R85:$R$131)</f>
        <v>3766.9452787257687</v>
      </c>
      <c r="T85" s="59">
        <f>SUM(S85:$S$131)</f>
        <v>48983.16156971043</v>
      </c>
      <c r="U85" s="24"/>
      <c r="V85"/>
      <c r="W85"/>
      <c r="X85"/>
      <c r="Y85"/>
      <c r="Z85"/>
      <c r="AA85"/>
      <c r="AB85"/>
    </row>
    <row r="86" spans="1:28" ht="12.75">
      <c r="A86" s="36">
        <f t="shared" si="4"/>
        <v>64</v>
      </c>
      <c r="B86" s="19">
        <v>1740</v>
      </c>
      <c r="C86" s="37">
        <f t="shared" si="5"/>
        <v>65873</v>
      </c>
      <c r="D86" s="38">
        <v>1887</v>
      </c>
      <c r="E86">
        <f t="shared" si="6"/>
        <v>70211</v>
      </c>
      <c r="F86" s="39">
        <v>1916</v>
      </c>
      <c r="G86" s="40">
        <f t="shared" si="7"/>
        <v>72954</v>
      </c>
      <c r="H86" s="41">
        <v>1823</v>
      </c>
      <c r="I86" s="37">
        <f t="shared" si="8"/>
        <v>76018</v>
      </c>
      <c r="J86" s="19">
        <v>1615</v>
      </c>
      <c r="K86" s="45">
        <f t="shared" si="10"/>
        <v>80804</v>
      </c>
      <c r="L86" s="36">
        <f t="shared" si="9"/>
        <v>64</v>
      </c>
      <c r="M86" s="44">
        <f aca="true" t="shared" si="15" ref="M86:M117">IF($C$6=71,F86,IF($C$6=81,H86,IF($C$6=51,B86,IF($C$6=61,D86,IF($C$6=92,J86)))))</f>
        <v>1823</v>
      </c>
      <c r="N86" s="44">
        <f aca="true" t="shared" si="16" ref="N86:N117">IF($C$6=71,G86,IF($C$6=81,I86,IF($C$6=51,C86,IF($C$6=61,E86,IF($C$6=92,K86)))))</f>
        <v>76018</v>
      </c>
      <c r="O86" s="61">
        <f aca="true" t="shared" si="17" ref="O86:O117">((1+$C$7)^-A86)*IF($C$6=71,G86,IF($C$6=81,I86,IF($C$6=51,C86,IF($C$6=61,E86,IF($C$6=92,K86)))))</f>
        <v>6177.0728632417695</v>
      </c>
      <c r="P86" s="59">
        <f>SUM(O86:$O$131)</f>
        <v>66280.27459288303</v>
      </c>
      <c r="Q86" s="73">
        <f>SUM(P86:P$131)</f>
        <v>547665.515849357</v>
      </c>
      <c r="R86" s="61">
        <f aca="true" t="shared" si="18" ref="R86:R117">((1+$C$7)^-(A86+1))*IF($C$6=71,F86,IF($C$6=81,H86,IF($C$6=51,B86,IF($C$6=61,D86,IF($C$6=92,J86)))))</f>
        <v>142.43594924999726</v>
      </c>
      <c r="S86" s="61">
        <f>SUM(R86:$R$131)</f>
        <v>3627.831532746265</v>
      </c>
      <c r="T86" s="59">
        <f>SUM(S86:$S$131)</f>
        <v>45216.21629098465</v>
      </c>
      <c r="U86" s="24"/>
      <c r="V86"/>
      <c r="W86"/>
      <c r="X86"/>
      <c r="Y86"/>
      <c r="Z86"/>
      <c r="AA86"/>
      <c r="AB86"/>
    </row>
    <row r="87" spans="1:28" ht="12.75">
      <c r="A87" s="36">
        <f aca="true" t="shared" si="19" ref="A87:A125">A86+1</f>
        <v>65</v>
      </c>
      <c r="B87" s="19">
        <v>1848</v>
      </c>
      <c r="C87" s="37">
        <f aca="true" t="shared" si="20" ref="C87:C127">C86-B86</f>
        <v>64133</v>
      </c>
      <c r="D87" s="38">
        <v>2008</v>
      </c>
      <c r="E87">
        <f aca="true" t="shared" si="21" ref="E87:E128">E86-D86</f>
        <v>68324</v>
      </c>
      <c r="F87" s="39">
        <v>2038</v>
      </c>
      <c r="G87" s="40">
        <f aca="true" t="shared" si="22" ref="G87:G128">G86-F86</f>
        <v>71038</v>
      </c>
      <c r="H87" s="41">
        <v>1971</v>
      </c>
      <c r="I87" s="37">
        <f aca="true" t="shared" si="23" ref="I87:I128">I86-H86</f>
        <v>74195</v>
      </c>
      <c r="J87" s="19">
        <v>1745</v>
      </c>
      <c r="K87" s="45">
        <f t="shared" si="10"/>
        <v>79189</v>
      </c>
      <c r="L87" s="36">
        <f aca="true" t="shared" si="24" ref="L87:L125">L86+1</f>
        <v>65</v>
      </c>
      <c r="M87" s="44">
        <f t="shared" si="15"/>
        <v>1971</v>
      </c>
      <c r="N87" s="44">
        <f t="shared" si="16"/>
        <v>74195</v>
      </c>
      <c r="O87" s="61">
        <f t="shared" si="17"/>
        <v>5797.057188482473</v>
      </c>
      <c r="P87" s="59">
        <f>SUM(O87:$O$131)</f>
        <v>60103.20172964126</v>
      </c>
      <c r="Q87" s="73">
        <f>SUM(P87:P$131)</f>
        <v>481385.24125647417</v>
      </c>
      <c r="R87" s="61">
        <f t="shared" si="18"/>
        <v>148.07653064039866</v>
      </c>
      <c r="S87" s="61">
        <f>SUM(R87:$R$131)</f>
        <v>3485.395583496268</v>
      </c>
      <c r="T87" s="59">
        <f>SUM(S87:$S$131)</f>
        <v>41588.3847582384</v>
      </c>
      <c r="U87" s="24"/>
      <c r="V87"/>
      <c r="W87"/>
      <c r="X87"/>
      <c r="Y87"/>
      <c r="Z87"/>
      <c r="AA87"/>
      <c r="AB87"/>
    </row>
    <row r="88" spans="1:28" ht="12.75">
      <c r="A88" s="36">
        <f t="shared" si="19"/>
        <v>66</v>
      </c>
      <c r="B88" s="19">
        <v>1974</v>
      </c>
      <c r="C88" s="37">
        <f t="shared" si="20"/>
        <v>62285</v>
      </c>
      <c r="D88" s="38">
        <v>2120</v>
      </c>
      <c r="E88">
        <f t="shared" si="21"/>
        <v>66316</v>
      </c>
      <c r="F88" s="39">
        <v>2155</v>
      </c>
      <c r="G88" s="40">
        <f t="shared" si="22"/>
        <v>69000</v>
      </c>
      <c r="H88" s="41">
        <v>2094</v>
      </c>
      <c r="I88" s="37">
        <f t="shared" si="23"/>
        <v>72224</v>
      </c>
      <c r="J88" s="19">
        <v>1874</v>
      </c>
      <c r="K88" s="45">
        <f aca="true" t="shared" si="25" ref="K88:K129">K87-J87</f>
        <v>77444</v>
      </c>
      <c r="L88" s="36">
        <f t="shared" si="24"/>
        <v>66</v>
      </c>
      <c r="M88" s="44">
        <f t="shared" si="15"/>
        <v>2094</v>
      </c>
      <c r="N88" s="44">
        <f t="shared" si="16"/>
        <v>72224</v>
      </c>
      <c r="O88" s="61">
        <f t="shared" si="17"/>
        <v>5426.016919823517</v>
      </c>
      <c r="P88" s="59">
        <f>SUM(O88:$O$131)</f>
        <v>54306.144541158785</v>
      </c>
      <c r="Q88" s="73">
        <f>SUM(P88:P$131)</f>
        <v>421282.0395268329</v>
      </c>
      <c r="R88" s="61">
        <f t="shared" si="18"/>
        <v>151.26656478602956</v>
      </c>
      <c r="S88" s="61">
        <f>SUM(R88:$R$131)</f>
        <v>3337.3190528558694</v>
      </c>
      <c r="T88" s="59">
        <f>SUM(S88:$S$131)</f>
        <v>38102.989174742135</v>
      </c>
      <c r="U88" s="24"/>
      <c r="V88"/>
      <c r="W88"/>
      <c r="X88"/>
      <c r="Y88"/>
      <c r="Z88"/>
      <c r="AA88"/>
      <c r="AB88"/>
    </row>
    <row r="89" spans="1:28" ht="12.75">
      <c r="A89" s="36">
        <f t="shared" si="19"/>
        <v>67</v>
      </c>
      <c r="B89" s="19">
        <v>2087</v>
      </c>
      <c r="C89" s="37">
        <f t="shared" si="20"/>
        <v>60311</v>
      </c>
      <c r="D89" s="38">
        <v>2176</v>
      </c>
      <c r="E89">
        <f t="shared" si="21"/>
        <v>64196</v>
      </c>
      <c r="F89" s="39">
        <v>2268</v>
      </c>
      <c r="G89" s="40">
        <f t="shared" si="22"/>
        <v>66845</v>
      </c>
      <c r="H89" s="41">
        <v>2226</v>
      </c>
      <c r="I89" s="37">
        <f t="shared" si="23"/>
        <v>70130</v>
      </c>
      <c r="J89" s="19">
        <v>1986</v>
      </c>
      <c r="K89" s="45">
        <f t="shared" si="25"/>
        <v>75570</v>
      </c>
      <c r="L89" s="36">
        <f t="shared" si="24"/>
        <v>67</v>
      </c>
      <c r="M89" s="44">
        <f t="shared" si="15"/>
        <v>2226</v>
      </c>
      <c r="N89" s="44">
        <f t="shared" si="16"/>
        <v>70130</v>
      </c>
      <c r="O89" s="61">
        <f t="shared" si="17"/>
        <v>5066.057396582738</v>
      </c>
      <c r="P89" s="59">
        <f>SUM(O89:$O$131)</f>
        <v>48880.12762133526</v>
      </c>
      <c r="Q89" s="73">
        <f>SUM(P89:P$131)</f>
        <v>366975.8949856741</v>
      </c>
      <c r="R89" s="61">
        <f t="shared" si="18"/>
        <v>154.6173009026255</v>
      </c>
      <c r="S89" s="61">
        <f>SUM(R89:$R$131)</f>
        <v>3186.05248806984</v>
      </c>
      <c r="T89" s="59">
        <f>SUM(S89:$S$131)</f>
        <v>34765.67012188626</v>
      </c>
      <c r="U89" s="24"/>
      <c r="V89"/>
      <c r="W89"/>
      <c r="X89"/>
      <c r="Y89"/>
      <c r="Z89"/>
      <c r="AA89"/>
      <c r="AB89"/>
    </row>
    <row r="90" spans="1:28" ht="12.75">
      <c r="A90" s="36">
        <f t="shared" si="19"/>
        <v>68</v>
      </c>
      <c r="B90" s="19">
        <v>2214</v>
      </c>
      <c r="C90" s="37">
        <f t="shared" si="20"/>
        <v>58224</v>
      </c>
      <c r="D90" s="38">
        <v>2235</v>
      </c>
      <c r="E90">
        <f t="shared" si="21"/>
        <v>62020</v>
      </c>
      <c r="F90" s="39">
        <v>2380</v>
      </c>
      <c r="G90" s="40">
        <f t="shared" si="22"/>
        <v>64577</v>
      </c>
      <c r="H90" s="41">
        <v>2346</v>
      </c>
      <c r="I90" s="37">
        <f t="shared" si="23"/>
        <v>67904</v>
      </c>
      <c r="J90" s="19">
        <v>2104</v>
      </c>
      <c r="K90" s="45">
        <f t="shared" si="25"/>
        <v>73584</v>
      </c>
      <c r="L90" s="36">
        <f t="shared" si="24"/>
        <v>68</v>
      </c>
      <c r="M90" s="44">
        <f t="shared" si="15"/>
        <v>2346</v>
      </c>
      <c r="N90" s="44">
        <f t="shared" si="16"/>
        <v>67904</v>
      </c>
      <c r="O90" s="61">
        <f t="shared" si="17"/>
        <v>4716.591734273083</v>
      </c>
      <c r="P90" s="59">
        <f>SUM(O90:$O$131)</f>
        <v>43814.07022475252</v>
      </c>
      <c r="Q90" s="73">
        <f>SUM(P90:P$131)</f>
        <v>318095.76736433886</v>
      </c>
      <c r="R90" s="61">
        <f t="shared" si="18"/>
        <v>156.6850628574709</v>
      </c>
      <c r="S90" s="61">
        <f>SUM(R90:$R$131)</f>
        <v>3031.4351871672143</v>
      </c>
      <c r="T90" s="59">
        <f>SUM(S90:$S$131)</f>
        <v>31579.617633816422</v>
      </c>
      <c r="U90" s="24"/>
      <c r="V90"/>
      <c r="W90"/>
      <c r="X90"/>
      <c r="Y90"/>
      <c r="Z90"/>
      <c r="AA90"/>
      <c r="AB90"/>
    </row>
    <row r="91" spans="1:28" ht="12.75">
      <c r="A91" s="36">
        <f t="shared" si="19"/>
        <v>69</v>
      </c>
      <c r="B91" s="19">
        <v>2341</v>
      </c>
      <c r="C91" s="37">
        <f t="shared" si="20"/>
        <v>56010</v>
      </c>
      <c r="D91" s="38">
        <v>2360</v>
      </c>
      <c r="E91">
        <f t="shared" si="21"/>
        <v>59785</v>
      </c>
      <c r="F91" s="39">
        <v>2507</v>
      </c>
      <c r="G91" s="40">
        <f t="shared" si="22"/>
        <v>62197</v>
      </c>
      <c r="H91" s="41">
        <v>2483</v>
      </c>
      <c r="I91" s="37">
        <f t="shared" si="23"/>
        <v>65558</v>
      </c>
      <c r="J91" s="19">
        <v>2218</v>
      </c>
      <c r="K91" s="45">
        <f t="shared" si="25"/>
        <v>71480</v>
      </c>
      <c r="L91" s="36">
        <f t="shared" si="24"/>
        <v>69</v>
      </c>
      <c r="M91" s="44">
        <f t="shared" si="15"/>
        <v>2483</v>
      </c>
      <c r="N91" s="44">
        <f t="shared" si="16"/>
        <v>65558</v>
      </c>
      <c r="O91" s="61">
        <f t="shared" si="17"/>
        <v>4378.499297020493</v>
      </c>
      <c r="P91" s="59">
        <f>SUM(O91:$O$131)</f>
        <v>39097.47849047944</v>
      </c>
      <c r="Q91" s="73">
        <f>SUM(P91:P$131)</f>
        <v>274281.6971395862</v>
      </c>
      <c r="R91" s="61">
        <f t="shared" si="18"/>
        <v>159.4567721961687</v>
      </c>
      <c r="S91" s="61">
        <f>SUM(R91:$R$131)</f>
        <v>2874.7501243097436</v>
      </c>
      <c r="T91" s="59">
        <f>SUM(S91:$S$131)</f>
        <v>28548.182446649207</v>
      </c>
      <c r="U91" s="24"/>
      <c r="V91"/>
      <c r="W91"/>
      <c r="X91"/>
      <c r="Y91"/>
      <c r="Z91"/>
      <c r="AA91"/>
      <c r="AB91"/>
    </row>
    <row r="92" spans="1:28" ht="12.75">
      <c r="A92" s="36">
        <f t="shared" si="19"/>
        <v>70</v>
      </c>
      <c r="B92" s="19">
        <v>2487</v>
      </c>
      <c r="C92" s="37">
        <f t="shared" si="20"/>
        <v>53669</v>
      </c>
      <c r="D92" s="38">
        <v>2469</v>
      </c>
      <c r="E92">
        <f t="shared" si="21"/>
        <v>57425</v>
      </c>
      <c r="F92" s="39">
        <v>2644</v>
      </c>
      <c r="G92" s="40">
        <f t="shared" si="22"/>
        <v>59690</v>
      </c>
      <c r="H92" s="41">
        <v>2658</v>
      </c>
      <c r="I92" s="37">
        <f t="shared" si="23"/>
        <v>63075</v>
      </c>
      <c r="J92" s="19">
        <v>2371</v>
      </c>
      <c r="K92" s="45">
        <f t="shared" si="25"/>
        <v>69262</v>
      </c>
      <c r="L92" s="36">
        <f t="shared" si="24"/>
        <v>70</v>
      </c>
      <c r="M92" s="44">
        <f t="shared" si="15"/>
        <v>2658</v>
      </c>
      <c r="N92" s="44">
        <f t="shared" si="16"/>
        <v>63075</v>
      </c>
      <c r="O92" s="61">
        <f t="shared" si="17"/>
        <v>4050.638705708152</v>
      </c>
      <c r="P92" s="59">
        <f>SUM(O92:$O$131)</f>
        <v>34718.979193458945</v>
      </c>
      <c r="Q92" s="73">
        <f>SUM(P92:P$131)</f>
        <v>235184.21864910677</v>
      </c>
      <c r="R92" s="61">
        <f t="shared" si="18"/>
        <v>164.1299685931319</v>
      </c>
      <c r="S92" s="61">
        <f>SUM(R92:$R$131)</f>
        <v>2715.2933521135747</v>
      </c>
      <c r="T92" s="59">
        <f>SUM(S92:$S$131)</f>
        <v>25673.43232233946</v>
      </c>
      <c r="U92" s="24"/>
      <c r="V92"/>
      <c r="W92"/>
      <c r="X92"/>
      <c r="Y92"/>
      <c r="Z92"/>
      <c r="AA92"/>
      <c r="AB92"/>
    </row>
    <row r="93" spans="1:28" ht="12.75">
      <c r="A93" s="36">
        <f t="shared" si="19"/>
        <v>71</v>
      </c>
      <c r="B93" s="19">
        <v>2635</v>
      </c>
      <c r="C93" s="37">
        <f t="shared" si="20"/>
        <v>51182</v>
      </c>
      <c r="D93" s="38">
        <v>2554</v>
      </c>
      <c r="E93">
        <f t="shared" si="21"/>
        <v>54956</v>
      </c>
      <c r="F93" s="39">
        <v>2799</v>
      </c>
      <c r="G93" s="40">
        <f t="shared" si="22"/>
        <v>57046</v>
      </c>
      <c r="H93" s="41">
        <v>2817</v>
      </c>
      <c r="I93" s="37">
        <f t="shared" si="23"/>
        <v>60417</v>
      </c>
      <c r="J93" s="19">
        <v>2474</v>
      </c>
      <c r="K93" s="45">
        <f t="shared" si="25"/>
        <v>66891</v>
      </c>
      <c r="L93" s="36">
        <f t="shared" si="24"/>
        <v>71</v>
      </c>
      <c r="M93" s="44">
        <f t="shared" si="15"/>
        <v>2817</v>
      </c>
      <c r="N93" s="44">
        <f t="shared" si="16"/>
        <v>60417</v>
      </c>
      <c r="O93" s="61">
        <f t="shared" si="17"/>
        <v>3730.7149407416296</v>
      </c>
      <c r="P93" s="59">
        <f>SUM(O93:$O$131)</f>
        <v>30668.340487750822</v>
      </c>
      <c r="Q93" s="73">
        <f>SUM(P93:P$131)</f>
        <v>200465.23945564782</v>
      </c>
      <c r="R93" s="61">
        <f t="shared" si="18"/>
        <v>167.2578144089152</v>
      </c>
      <c r="S93" s="61">
        <f>SUM(R93:$R$131)</f>
        <v>2551.1633835204425</v>
      </c>
      <c r="T93" s="59">
        <f>SUM(S93:$S$131)</f>
        <v>22958.138970225882</v>
      </c>
      <c r="U93" s="24"/>
      <c r="V93"/>
      <c r="W93"/>
      <c r="X93"/>
      <c r="Y93"/>
      <c r="Z93"/>
      <c r="AA93"/>
      <c r="AB93"/>
    </row>
    <row r="94" spans="1:28" ht="12.75">
      <c r="A94" s="36">
        <f t="shared" si="19"/>
        <v>72</v>
      </c>
      <c r="B94" s="19">
        <v>2794</v>
      </c>
      <c r="C94" s="37">
        <f t="shared" si="20"/>
        <v>48547</v>
      </c>
      <c r="D94" s="38">
        <v>2646</v>
      </c>
      <c r="E94">
        <f t="shared" si="21"/>
        <v>52402</v>
      </c>
      <c r="F94" s="39">
        <v>2953</v>
      </c>
      <c r="G94" s="40">
        <f t="shared" si="22"/>
        <v>54247</v>
      </c>
      <c r="H94" s="41">
        <v>2982</v>
      </c>
      <c r="I94" s="37">
        <f t="shared" si="23"/>
        <v>57600</v>
      </c>
      <c r="J94" s="19">
        <v>2596</v>
      </c>
      <c r="K94" s="45">
        <f t="shared" si="25"/>
        <v>64417</v>
      </c>
      <c r="L94" s="36">
        <f t="shared" si="24"/>
        <v>72</v>
      </c>
      <c r="M94" s="44">
        <f t="shared" si="15"/>
        <v>2982</v>
      </c>
      <c r="N94" s="44">
        <f t="shared" si="16"/>
        <v>57600</v>
      </c>
      <c r="O94" s="61">
        <f t="shared" si="17"/>
        <v>3419.9680901503434</v>
      </c>
      <c r="P94" s="59">
        <f>SUM(O94:$O$131)</f>
        <v>26937.625547009193</v>
      </c>
      <c r="Q94" s="73">
        <f>SUM(P94:P$131)</f>
        <v>169796.89896789702</v>
      </c>
      <c r="R94" s="61">
        <f t="shared" si="18"/>
        <v>170.2448057697036</v>
      </c>
      <c r="S94" s="61">
        <f>SUM(R94:$R$131)</f>
        <v>2383.9055691115277</v>
      </c>
      <c r="T94" s="59">
        <f>SUM(S94:$S$131)</f>
        <v>20406.975586705445</v>
      </c>
      <c r="U94" s="24"/>
      <c r="V94"/>
      <c r="W94"/>
      <c r="X94"/>
      <c r="Y94"/>
      <c r="Z94"/>
      <c r="AA94"/>
      <c r="AB94"/>
    </row>
    <row r="95" spans="1:28" ht="12.75">
      <c r="A95" s="36">
        <f t="shared" si="19"/>
        <v>73</v>
      </c>
      <c r="B95" s="19">
        <v>2925</v>
      </c>
      <c r="C95" s="37">
        <f t="shared" si="20"/>
        <v>45753</v>
      </c>
      <c r="D95" s="38">
        <v>2791</v>
      </c>
      <c r="E95">
        <f t="shared" si="21"/>
        <v>49756</v>
      </c>
      <c r="F95" s="39">
        <v>3076</v>
      </c>
      <c r="G95" s="40">
        <f t="shared" si="22"/>
        <v>51294</v>
      </c>
      <c r="H95" s="41">
        <v>3122</v>
      </c>
      <c r="I95" s="37">
        <f t="shared" si="23"/>
        <v>54618</v>
      </c>
      <c r="J95" s="19">
        <v>2706</v>
      </c>
      <c r="K95" s="45">
        <f t="shared" si="25"/>
        <v>61821</v>
      </c>
      <c r="L95" s="36">
        <f t="shared" si="24"/>
        <v>73</v>
      </c>
      <c r="M95" s="44">
        <f t="shared" si="15"/>
        <v>3122</v>
      </c>
      <c r="N95" s="44">
        <f t="shared" si="16"/>
        <v>54618</v>
      </c>
      <c r="O95" s="61">
        <f t="shared" si="17"/>
        <v>3118.186050144088</v>
      </c>
      <c r="P95" s="59">
        <f>SUM(O95:$O$131)</f>
        <v>23517.657456858844</v>
      </c>
      <c r="Q95" s="73">
        <f>SUM(P95:P$131)</f>
        <v>142859.27342088785</v>
      </c>
      <c r="R95" s="61">
        <f t="shared" si="18"/>
        <v>171.38223043808185</v>
      </c>
      <c r="S95" s="61">
        <f>SUM(R95:$R$131)</f>
        <v>2213.660763341824</v>
      </c>
      <c r="T95" s="59">
        <f>SUM(S95:$S$131)</f>
        <v>18023.070017593916</v>
      </c>
      <c r="U95" s="24"/>
      <c r="V95"/>
      <c r="W95"/>
      <c r="X95"/>
      <c r="Y95"/>
      <c r="Z95"/>
      <c r="AA95"/>
      <c r="AB95"/>
    </row>
    <row r="96" spans="1:28" ht="12.75">
      <c r="A96" s="36">
        <f t="shared" si="19"/>
        <v>74</v>
      </c>
      <c r="B96" s="19">
        <v>3046</v>
      </c>
      <c r="C96" s="37">
        <f t="shared" si="20"/>
        <v>42828</v>
      </c>
      <c r="D96" s="38">
        <v>2912</v>
      </c>
      <c r="E96">
        <f t="shared" si="21"/>
        <v>46965</v>
      </c>
      <c r="F96" s="39">
        <v>3168</v>
      </c>
      <c r="G96" s="40">
        <f t="shared" si="22"/>
        <v>48218</v>
      </c>
      <c r="H96" s="41">
        <v>3236</v>
      </c>
      <c r="I96" s="37">
        <f t="shared" si="23"/>
        <v>51496</v>
      </c>
      <c r="J96" s="19">
        <v>2829</v>
      </c>
      <c r="K96" s="45">
        <f t="shared" si="25"/>
        <v>59115</v>
      </c>
      <c r="L96" s="36">
        <f t="shared" si="24"/>
        <v>74</v>
      </c>
      <c r="M96" s="44">
        <f t="shared" si="15"/>
        <v>3236</v>
      </c>
      <c r="N96" s="44">
        <f t="shared" si="16"/>
        <v>51496</v>
      </c>
      <c r="O96" s="61">
        <f t="shared" si="17"/>
        <v>2826.873587008156</v>
      </c>
      <c r="P96" s="59">
        <f>SUM(O96:$O$131)</f>
        <v>20399.471406714754</v>
      </c>
      <c r="Q96" s="73">
        <f>SUM(P96:P$131)</f>
        <v>119341.61596402903</v>
      </c>
      <c r="R96" s="61">
        <f t="shared" si="18"/>
        <v>170.8079441487314</v>
      </c>
      <c r="S96" s="61">
        <f>SUM(R96:$R$131)</f>
        <v>2042.2785329037413</v>
      </c>
      <c r="T96" s="59">
        <f>SUM(S96:$S$131)</f>
        <v>15809.409254252087</v>
      </c>
      <c r="U96" s="24"/>
      <c r="V96"/>
      <c r="W96"/>
      <c r="X96"/>
      <c r="Y96"/>
      <c r="Z96"/>
      <c r="AA96"/>
      <c r="AB96"/>
    </row>
    <row r="97" spans="1:28" ht="12.75">
      <c r="A97" s="36">
        <f t="shared" si="19"/>
        <v>75</v>
      </c>
      <c r="B97" s="19">
        <v>3144</v>
      </c>
      <c r="C97" s="37">
        <f t="shared" si="20"/>
        <v>39782</v>
      </c>
      <c r="D97" s="38">
        <v>3010</v>
      </c>
      <c r="E97">
        <f t="shared" si="21"/>
        <v>44053</v>
      </c>
      <c r="F97" s="39">
        <v>3222</v>
      </c>
      <c r="G97" s="40">
        <f t="shared" si="22"/>
        <v>45050</v>
      </c>
      <c r="H97" s="41">
        <v>3324</v>
      </c>
      <c r="I97" s="37">
        <f t="shared" si="23"/>
        <v>48260</v>
      </c>
      <c r="J97" s="19">
        <v>2962</v>
      </c>
      <c r="K97" s="45">
        <f t="shared" si="25"/>
        <v>56286</v>
      </c>
      <c r="L97" s="36">
        <f t="shared" si="24"/>
        <v>75</v>
      </c>
      <c r="M97" s="44">
        <f t="shared" si="15"/>
        <v>3324</v>
      </c>
      <c r="N97" s="44">
        <f t="shared" si="16"/>
        <v>48260</v>
      </c>
      <c r="O97" s="61">
        <f t="shared" si="17"/>
        <v>2547.339735666804</v>
      </c>
      <c r="P97" s="59">
        <f>SUM(O97:$O$131)</f>
        <v>17572.597819706603</v>
      </c>
      <c r="Q97" s="73">
        <f>SUM(P97:P$131)</f>
        <v>98942.14455731427</v>
      </c>
      <c r="R97" s="61">
        <f t="shared" si="18"/>
        <v>168.70471806075375</v>
      </c>
      <c r="S97" s="61">
        <f>SUM(R97:$R$131)</f>
        <v>1871.47058875501</v>
      </c>
      <c r="T97" s="59">
        <f>SUM(S97:$S$131)</f>
        <v>13767.130721348345</v>
      </c>
      <c r="U97" s="24"/>
      <c r="V97"/>
      <c r="W97"/>
      <c r="X97"/>
      <c r="Y97"/>
      <c r="Z97"/>
      <c r="AA97"/>
      <c r="AB97"/>
    </row>
    <row r="98" spans="1:28" ht="12.75">
      <c r="A98" s="36">
        <f t="shared" si="19"/>
        <v>76</v>
      </c>
      <c r="B98" s="19">
        <v>3207</v>
      </c>
      <c r="C98" s="37">
        <f t="shared" si="20"/>
        <v>36638</v>
      </c>
      <c r="D98" s="38">
        <v>3082</v>
      </c>
      <c r="E98">
        <f t="shared" si="21"/>
        <v>41043</v>
      </c>
      <c r="F98" s="39">
        <v>3244</v>
      </c>
      <c r="G98" s="40">
        <f t="shared" si="22"/>
        <v>41828</v>
      </c>
      <c r="H98" s="41">
        <v>3428</v>
      </c>
      <c r="I98" s="37">
        <f t="shared" si="23"/>
        <v>44936</v>
      </c>
      <c r="J98" s="19">
        <v>3101</v>
      </c>
      <c r="K98" s="45">
        <f t="shared" si="25"/>
        <v>53324</v>
      </c>
      <c r="L98" s="36">
        <f t="shared" si="24"/>
        <v>76</v>
      </c>
      <c r="M98" s="44">
        <f t="shared" si="15"/>
        <v>3428</v>
      </c>
      <c r="N98" s="44">
        <f t="shared" si="16"/>
        <v>44936</v>
      </c>
      <c r="O98" s="61">
        <f t="shared" si="17"/>
        <v>2280.6604123880957</v>
      </c>
      <c r="P98" s="59">
        <f>SUM(O98:$O$131)</f>
        <v>15025.258084039786</v>
      </c>
      <c r="Q98" s="73">
        <f>SUM(P98:P$131)</f>
        <v>81369.54673760766</v>
      </c>
      <c r="R98" s="61">
        <f t="shared" si="18"/>
        <v>167.29142758732058</v>
      </c>
      <c r="S98" s="61">
        <f>SUM(R98:$R$131)</f>
        <v>1702.7658706942564</v>
      </c>
      <c r="T98" s="59">
        <f>SUM(S98:$S$131)</f>
        <v>11895.660132593335</v>
      </c>
      <c r="U98" s="24"/>
      <c r="V98"/>
      <c r="W98"/>
      <c r="X98"/>
      <c r="Y98"/>
      <c r="Z98"/>
      <c r="AA98"/>
      <c r="AB98"/>
    </row>
    <row r="99" spans="1:28" ht="12.75">
      <c r="A99" s="36">
        <f t="shared" si="19"/>
        <v>77</v>
      </c>
      <c r="B99" s="19">
        <v>3222</v>
      </c>
      <c r="C99" s="37">
        <f t="shared" si="20"/>
        <v>33431</v>
      </c>
      <c r="D99" s="38">
        <v>3120</v>
      </c>
      <c r="E99">
        <f t="shared" si="21"/>
        <v>37961</v>
      </c>
      <c r="F99" s="39">
        <v>3237</v>
      </c>
      <c r="G99" s="40">
        <f t="shared" si="22"/>
        <v>38584</v>
      </c>
      <c r="H99" s="41">
        <v>3460</v>
      </c>
      <c r="I99" s="37">
        <f t="shared" si="23"/>
        <v>41508</v>
      </c>
      <c r="J99" s="19">
        <v>3181</v>
      </c>
      <c r="K99" s="45">
        <f t="shared" si="25"/>
        <v>50223</v>
      </c>
      <c r="L99" s="36">
        <f t="shared" si="24"/>
        <v>77</v>
      </c>
      <c r="M99" s="44">
        <f t="shared" si="15"/>
        <v>3460</v>
      </c>
      <c r="N99" s="44">
        <f t="shared" si="16"/>
        <v>41508</v>
      </c>
      <c r="O99" s="61">
        <f t="shared" si="17"/>
        <v>2025.651276632002</v>
      </c>
      <c r="P99" s="59">
        <f>SUM(O99:$O$131)</f>
        <v>12744.597671651689</v>
      </c>
      <c r="Q99" s="73">
        <f>SUM(P99:P$131)</f>
        <v>66344.28865356788</v>
      </c>
      <c r="R99" s="61">
        <f t="shared" si="18"/>
        <v>162.35872549931818</v>
      </c>
      <c r="S99" s="61">
        <f>SUM(R99:$R$131)</f>
        <v>1535.474443106936</v>
      </c>
      <c r="T99" s="59">
        <f>SUM(S99:$S$131)</f>
        <v>10192.894261899079</v>
      </c>
      <c r="U99" s="24"/>
      <c r="V99"/>
      <c r="W99"/>
      <c r="X99"/>
      <c r="Y99"/>
      <c r="Z99"/>
      <c r="AA99"/>
      <c r="AB99"/>
    </row>
    <row r="100" spans="1:28" ht="12.75">
      <c r="A100" s="36">
        <f t="shared" si="19"/>
        <v>78</v>
      </c>
      <c r="B100" s="19">
        <v>3230</v>
      </c>
      <c r="C100" s="37">
        <f t="shared" si="20"/>
        <v>30209</v>
      </c>
      <c r="D100" s="38">
        <v>3124</v>
      </c>
      <c r="E100">
        <f t="shared" si="21"/>
        <v>34841</v>
      </c>
      <c r="F100" s="39">
        <v>3203</v>
      </c>
      <c r="G100" s="40">
        <f t="shared" si="22"/>
        <v>35347</v>
      </c>
      <c r="H100" s="41">
        <v>3453</v>
      </c>
      <c r="I100" s="37">
        <f t="shared" si="23"/>
        <v>38048</v>
      </c>
      <c r="J100" s="19">
        <v>3268</v>
      </c>
      <c r="K100" s="45">
        <f t="shared" si="25"/>
        <v>47042</v>
      </c>
      <c r="L100" s="36">
        <f t="shared" si="24"/>
        <v>78</v>
      </c>
      <c r="M100" s="44">
        <f t="shared" si="15"/>
        <v>3453</v>
      </c>
      <c r="N100" s="44">
        <f t="shared" si="16"/>
        <v>38048</v>
      </c>
      <c r="O100" s="61">
        <f t="shared" si="17"/>
        <v>1785.3828866468375</v>
      </c>
      <c r="P100" s="59">
        <f>SUM(O100:$O$131)</f>
        <v>10718.946395019688</v>
      </c>
      <c r="Q100" s="73">
        <f>SUM(P100:P$131)</f>
        <v>53599.690981916174</v>
      </c>
      <c r="R100" s="61">
        <f t="shared" si="18"/>
        <v>155.79832123975814</v>
      </c>
      <c r="S100" s="61">
        <f>SUM(R100:$R$131)</f>
        <v>1373.1157176076179</v>
      </c>
      <c r="T100" s="59">
        <f>SUM(S100:$S$131)</f>
        <v>8657.419818792145</v>
      </c>
      <c r="U100" s="24"/>
      <c r="V100"/>
      <c r="W100"/>
      <c r="X100"/>
      <c r="Y100"/>
      <c r="Z100"/>
      <c r="AA100"/>
      <c r="AB100"/>
    </row>
    <row r="101" spans="1:28" ht="12.75">
      <c r="A101" s="36">
        <f t="shared" si="19"/>
        <v>79</v>
      </c>
      <c r="B101" s="19">
        <v>3170</v>
      </c>
      <c r="C101" s="37">
        <f t="shared" si="20"/>
        <v>26979</v>
      </c>
      <c r="D101" s="38">
        <v>3166</v>
      </c>
      <c r="E101">
        <f t="shared" si="21"/>
        <v>31717</v>
      </c>
      <c r="F101" s="39">
        <v>3146</v>
      </c>
      <c r="G101" s="40">
        <f t="shared" si="22"/>
        <v>32144</v>
      </c>
      <c r="H101" s="41">
        <v>3417</v>
      </c>
      <c r="I101" s="37">
        <f t="shared" si="23"/>
        <v>34595</v>
      </c>
      <c r="J101" s="19">
        <v>3357</v>
      </c>
      <c r="K101" s="45">
        <f t="shared" si="25"/>
        <v>43774</v>
      </c>
      <c r="L101" s="36">
        <f t="shared" si="24"/>
        <v>79</v>
      </c>
      <c r="M101" s="44">
        <f t="shared" si="15"/>
        <v>3417</v>
      </c>
      <c r="N101" s="44">
        <f t="shared" si="16"/>
        <v>34595</v>
      </c>
      <c r="O101" s="61">
        <f t="shared" si="17"/>
        <v>1560.9159928437396</v>
      </c>
      <c r="P101" s="59">
        <f>SUM(O101:$O$131)</f>
        <v>8933.563508372852</v>
      </c>
      <c r="Q101" s="73">
        <f>SUM(P101:P$131)</f>
        <v>42880.744586896486</v>
      </c>
      <c r="R101" s="61">
        <f t="shared" si="18"/>
        <v>148.24424237459442</v>
      </c>
      <c r="S101" s="61">
        <f>SUM(R101:$R$131)</f>
        <v>1217.3173963678598</v>
      </c>
      <c r="T101" s="59">
        <f>SUM(S101:$S$131)</f>
        <v>7284.304101184526</v>
      </c>
      <c r="U101" s="24"/>
      <c r="V101"/>
      <c r="W101"/>
      <c r="X101"/>
      <c r="Y101"/>
      <c r="Z101"/>
      <c r="AA101"/>
      <c r="AB101"/>
    </row>
    <row r="102" spans="1:28" ht="12.75">
      <c r="A102" s="36">
        <f t="shared" si="19"/>
        <v>80</v>
      </c>
      <c r="B102" s="19">
        <v>3080</v>
      </c>
      <c r="C102" s="37">
        <f t="shared" si="20"/>
        <v>23809</v>
      </c>
      <c r="D102" s="38">
        <v>3120</v>
      </c>
      <c r="E102">
        <f t="shared" si="21"/>
        <v>28551</v>
      </c>
      <c r="F102" s="39">
        <v>3067</v>
      </c>
      <c r="G102" s="40">
        <f t="shared" si="22"/>
        <v>28998</v>
      </c>
      <c r="H102" s="41">
        <v>3354</v>
      </c>
      <c r="I102" s="37">
        <f t="shared" si="23"/>
        <v>31178</v>
      </c>
      <c r="J102" s="19">
        <v>3429</v>
      </c>
      <c r="K102" s="45">
        <f t="shared" si="25"/>
        <v>40417</v>
      </c>
      <c r="L102" s="36">
        <f t="shared" si="24"/>
        <v>80</v>
      </c>
      <c r="M102" s="44">
        <f t="shared" si="15"/>
        <v>3354</v>
      </c>
      <c r="N102" s="44">
        <f t="shared" si="16"/>
        <v>31178</v>
      </c>
      <c r="O102" s="61">
        <f t="shared" si="17"/>
        <v>1352.636519975155</v>
      </c>
      <c r="P102" s="59">
        <f>SUM(O102:$O$131)</f>
        <v>7372.6475155291155</v>
      </c>
      <c r="Q102" s="73">
        <f>SUM(P102:P$131)</f>
        <v>33947.18107852364</v>
      </c>
      <c r="R102" s="61">
        <f t="shared" si="18"/>
        <v>139.9144517582871</v>
      </c>
      <c r="S102" s="61">
        <f>SUM(R102:$R$131)</f>
        <v>1069.0731539932656</v>
      </c>
      <c r="T102" s="59">
        <f>SUM(S102:$S$131)</f>
        <v>6066.986704816666</v>
      </c>
      <c r="U102" s="24"/>
      <c r="V102"/>
      <c r="W102"/>
      <c r="X102"/>
      <c r="Y102"/>
      <c r="Z102"/>
      <c r="AA102"/>
      <c r="AB102"/>
    </row>
    <row r="103" spans="1:28" ht="12.75">
      <c r="A103" s="36">
        <f t="shared" si="19"/>
        <v>81</v>
      </c>
      <c r="B103" s="19">
        <v>2948</v>
      </c>
      <c r="C103" s="37">
        <f t="shared" si="20"/>
        <v>20729</v>
      </c>
      <c r="D103" s="38">
        <v>3039</v>
      </c>
      <c r="E103">
        <f t="shared" si="21"/>
        <v>25431</v>
      </c>
      <c r="F103" s="39">
        <v>2971</v>
      </c>
      <c r="G103" s="40">
        <f t="shared" si="22"/>
        <v>25931</v>
      </c>
      <c r="H103" s="41">
        <v>3274</v>
      </c>
      <c r="I103" s="37">
        <f t="shared" si="23"/>
        <v>27824</v>
      </c>
      <c r="J103" s="19">
        <v>3508</v>
      </c>
      <c r="K103" s="45">
        <f t="shared" si="25"/>
        <v>36988</v>
      </c>
      <c r="L103" s="36">
        <f t="shared" si="24"/>
        <v>81</v>
      </c>
      <c r="M103" s="44">
        <f t="shared" si="15"/>
        <v>3274</v>
      </c>
      <c r="N103" s="44">
        <f t="shared" si="16"/>
        <v>27824</v>
      </c>
      <c r="O103" s="61">
        <f t="shared" si="17"/>
        <v>1160.697586679362</v>
      </c>
      <c r="P103" s="59">
        <f>SUM(O103:$O$131)</f>
        <v>6020.01099555396</v>
      </c>
      <c r="Q103" s="73">
        <f>SUM(P103:P$131)</f>
        <v>26574.533562994515</v>
      </c>
      <c r="R103" s="61">
        <f t="shared" si="18"/>
        <v>131.3242268292257</v>
      </c>
      <c r="S103" s="61">
        <f>SUM(R103:$R$131)</f>
        <v>929.1587022349787</v>
      </c>
      <c r="T103" s="59">
        <f>SUM(S103:$S$131)</f>
        <v>4997.9135508234</v>
      </c>
      <c r="U103" s="24"/>
      <c r="V103"/>
      <c r="W103"/>
      <c r="X103"/>
      <c r="Y103"/>
      <c r="Z103"/>
      <c r="AA103"/>
      <c r="AB103"/>
    </row>
    <row r="104" spans="1:28" ht="12.75">
      <c r="A104" s="36">
        <f t="shared" si="19"/>
        <v>82</v>
      </c>
      <c r="B104" s="19">
        <v>2771</v>
      </c>
      <c r="C104" s="37">
        <f t="shared" si="20"/>
        <v>17781</v>
      </c>
      <c r="D104" s="38">
        <v>2924</v>
      </c>
      <c r="E104">
        <f t="shared" si="21"/>
        <v>22392</v>
      </c>
      <c r="F104" s="39">
        <v>2871</v>
      </c>
      <c r="G104" s="40">
        <f t="shared" si="22"/>
        <v>22960</v>
      </c>
      <c r="H104" s="41">
        <v>3139</v>
      </c>
      <c r="I104" s="37">
        <f t="shared" si="23"/>
        <v>24550</v>
      </c>
      <c r="J104" s="19">
        <v>3517</v>
      </c>
      <c r="K104" s="45">
        <f t="shared" si="25"/>
        <v>33480</v>
      </c>
      <c r="L104" s="36">
        <f t="shared" si="24"/>
        <v>82</v>
      </c>
      <c r="M104" s="44">
        <f t="shared" si="15"/>
        <v>3139</v>
      </c>
      <c r="N104" s="44">
        <f t="shared" si="16"/>
        <v>24550</v>
      </c>
      <c r="O104" s="61">
        <f t="shared" si="17"/>
        <v>984.7311449778531</v>
      </c>
      <c r="P104" s="59">
        <f>SUM(O104:$O$131)</f>
        <v>4859.3134088745965</v>
      </c>
      <c r="Q104" s="73">
        <f>SUM(P104:P$131)</f>
        <v>20554.522567440552</v>
      </c>
      <c r="R104" s="61">
        <f t="shared" si="18"/>
        <v>121.0665464548598</v>
      </c>
      <c r="S104" s="61">
        <f>SUM(R104:$R$131)</f>
        <v>797.834475405753</v>
      </c>
      <c r="T104" s="59">
        <f>SUM(S104:$S$131)</f>
        <v>4068.754848588419</v>
      </c>
      <c r="U104" s="24"/>
      <c r="V104"/>
      <c r="W104"/>
      <c r="X104"/>
      <c r="Y104"/>
      <c r="Z104"/>
      <c r="AA104"/>
      <c r="AB104"/>
    </row>
    <row r="105" spans="1:28" ht="12.75">
      <c r="A105" s="36">
        <f t="shared" si="19"/>
        <v>83</v>
      </c>
      <c r="B105" s="19">
        <v>2557</v>
      </c>
      <c r="C105" s="37">
        <f t="shared" si="20"/>
        <v>15010</v>
      </c>
      <c r="D105" s="38">
        <v>2774</v>
      </c>
      <c r="E105">
        <f t="shared" si="21"/>
        <v>19468</v>
      </c>
      <c r="F105" s="39">
        <v>2754</v>
      </c>
      <c r="G105" s="40">
        <f t="shared" si="22"/>
        <v>20089</v>
      </c>
      <c r="H105" s="41">
        <v>2973</v>
      </c>
      <c r="I105" s="37">
        <f t="shared" si="23"/>
        <v>21411</v>
      </c>
      <c r="J105" s="19">
        <v>3475</v>
      </c>
      <c r="K105" s="45">
        <f t="shared" si="25"/>
        <v>29963</v>
      </c>
      <c r="L105" s="36">
        <f t="shared" si="24"/>
        <v>83</v>
      </c>
      <c r="M105" s="44">
        <f t="shared" si="15"/>
        <v>2973</v>
      </c>
      <c r="N105" s="44">
        <f t="shared" si="16"/>
        <v>21411</v>
      </c>
      <c r="O105" s="61">
        <f t="shared" si="17"/>
        <v>825.7903237161527</v>
      </c>
      <c r="P105" s="59">
        <f>SUM(O105:$O$131)</f>
        <v>3874.5822638967425</v>
      </c>
      <c r="Q105" s="73">
        <f>SUM(P105:P$131)</f>
        <v>15695.209158565962</v>
      </c>
      <c r="R105" s="61">
        <f t="shared" si="18"/>
        <v>110.25401359150948</v>
      </c>
      <c r="S105" s="61">
        <f>SUM(R105:$R$131)</f>
        <v>676.7679289508932</v>
      </c>
      <c r="T105" s="59">
        <f>SUM(S105:$S$131)</f>
        <v>3270.920373182666</v>
      </c>
      <c r="U105" s="24"/>
      <c r="V105"/>
      <c r="W105"/>
      <c r="X105"/>
      <c r="Y105"/>
      <c r="Z105"/>
      <c r="AA105"/>
      <c r="AB105"/>
    </row>
    <row r="106" spans="1:28" ht="12.75">
      <c r="A106" s="36">
        <f t="shared" si="19"/>
        <v>84</v>
      </c>
      <c r="B106" s="19">
        <v>2314</v>
      </c>
      <c r="C106" s="37">
        <f t="shared" si="20"/>
        <v>12453</v>
      </c>
      <c r="D106" s="38">
        <v>2593</v>
      </c>
      <c r="E106">
        <f t="shared" si="21"/>
        <v>16694</v>
      </c>
      <c r="F106" s="39">
        <v>2610</v>
      </c>
      <c r="G106" s="40">
        <f t="shared" si="22"/>
        <v>17335</v>
      </c>
      <c r="H106" s="41">
        <v>2777</v>
      </c>
      <c r="I106" s="37">
        <f t="shared" si="23"/>
        <v>18438</v>
      </c>
      <c r="J106" s="19">
        <v>3381</v>
      </c>
      <c r="K106" s="45">
        <f t="shared" si="25"/>
        <v>26488</v>
      </c>
      <c r="L106" s="36">
        <f t="shared" si="24"/>
        <v>84</v>
      </c>
      <c r="M106" s="44">
        <f t="shared" si="15"/>
        <v>2777</v>
      </c>
      <c r="N106" s="44">
        <f t="shared" si="16"/>
        <v>18438</v>
      </c>
      <c r="O106" s="61">
        <f t="shared" si="17"/>
        <v>683.7751438278681</v>
      </c>
      <c r="P106" s="59">
        <f>SUM(O106:$O$131)</f>
        <v>3048.79194018059</v>
      </c>
      <c r="Q106" s="73">
        <f>SUM(P106:P$131)</f>
        <v>11820.626894669222</v>
      </c>
      <c r="R106" s="61">
        <f t="shared" si="18"/>
        <v>99.02435889144019</v>
      </c>
      <c r="S106" s="61">
        <f>SUM(R106:$R$131)</f>
        <v>566.5139153593838</v>
      </c>
      <c r="T106" s="59">
        <f>SUM(S106:$S$131)</f>
        <v>2594.1524442317727</v>
      </c>
      <c r="U106" s="24"/>
      <c r="V106"/>
      <c r="W106"/>
      <c r="X106"/>
      <c r="Y106"/>
      <c r="Z106"/>
      <c r="AA106"/>
      <c r="AB106"/>
    </row>
    <row r="107" spans="1:28" ht="12.75">
      <c r="A107" s="36">
        <f t="shared" si="19"/>
        <v>85</v>
      </c>
      <c r="B107" s="19">
        <v>2049</v>
      </c>
      <c r="C107" s="37">
        <f t="shared" si="20"/>
        <v>10139</v>
      </c>
      <c r="D107" s="38">
        <v>2385</v>
      </c>
      <c r="E107">
        <f t="shared" si="21"/>
        <v>14101</v>
      </c>
      <c r="F107" s="39">
        <v>2434</v>
      </c>
      <c r="G107" s="40">
        <f t="shared" si="22"/>
        <v>14725</v>
      </c>
      <c r="H107" s="41">
        <v>2556</v>
      </c>
      <c r="I107" s="37">
        <f t="shared" si="23"/>
        <v>15661</v>
      </c>
      <c r="J107" s="19">
        <v>3247</v>
      </c>
      <c r="K107" s="45">
        <f t="shared" si="25"/>
        <v>23107</v>
      </c>
      <c r="L107" s="36">
        <f t="shared" si="24"/>
        <v>85</v>
      </c>
      <c r="M107" s="44">
        <f t="shared" si="15"/>
        <v>2556</v>
      </c>
      <c r="N107" s="44">
        <f t="shared" si="16"/>
        <v>15661</v>
      </c>
      <c r="O107" s="61">
        <f t="shared" si="17"/>
        <v>558.4517409430481</v>
      </c>
      <c r="P107" s="59">
        <f>SUM(O107:$O$131)</f>
        <v>2365.0167963527224</v>
      </c>
      <c r="Q107" s="73">
        <f>SUM(P107:P$131)</f>
        <v>8771.834954488631</v>
      </c>
      <c r="R107" s="61">
        <f t="shared" si="18"/>
        <v>87.63824455227041</v>
      </c>
      <c r="S107" s="61">
        <f>SUM(R107:$R$131)</f>
        <v>467.4895564679434</v>
      </c>
      <c r="T107" s="59">
        <f>SUM(S107:$S$131)</f>
        <v>2027.6385288723907</v>
      </c>
      <c r="U107" s="24"/>
      <c r="V107"/>
      <c r="W107"/>
      <c r="X107"/>
      <c r="Y107"/>
      <c r="Z107"/>
      <c r="AA107"/>
      <c r="AB107"/>
    </row>
    <row r="108" spans="1:28" ht="12.75">
      <c r="A108" s="36">
        <f t="shared" si="19"/>
        <v>86</v>
      </c>
      <c r="B108" s="19">
        <v>1773</v>
      </c>
      <c r="C108" s="37">
        <f t="shared" si="20"/>
        <v>8090</v>
      </c>
      <c r="D108" s="38">
        <v>2154</v>
      </c>
      <c r="E108">
        <f t="shared" si="21"/>
        <v>11716</v>
      </c>
      <c r="F108" s="39">
        <v>2226</v>
      </c>
      <c r="G108" s="40">
        <f t="shared" si="22"/>
        <v>12291</v>
      </c>
      <c r="H108" s="41">
        <v>2316</v>
      </c>
      <c r="I108" s="37">
        <f t="shared" si="23"/>
        <v>13105</v>
      </c>
      <c r="J108" s="19">
        <v>3053</v>
      </c>
      <c r="K108" s="45">
        <f t="shared" si="25"/>
        <v>19860</v>
      </c>
      <c r="L108" s="36">
        <f t="shared" si="24"/>
        <v>86</v>
      </c>
      <c r="M108" s="44">
        <f t="shared" si="15"/>
        <v>2316</v>
      </c>
      <c r="N108" s="44">
        <f t="shared" si="16"/>
        <v>13105</v>
      </c>
      <c r="O108" s="61">
        <f t="shared" si="17"/>
        <v>449.3345832775836</v>
      </c>
      <c r="P108" s="59">
        <f>SUM(O108:$O$131)</f>
        <v>1806.5650554096746</v>
      </c>
      <c r="Q108" s="73">
        <f>SUM(P108:P$131)</f>
        <v>6406.818158135908</v>
      </c>
      <c r="R108" s="61">
        <f t="shared" si="18"/>
        <v>76.35509750175241</v>
      </c>
      <c r="S108" s="61">
        <f>SUM(R108:$R$131)</f>
        <v>379.8513119156731</v>
      </c>
      <c r="T108" s="59">
        <f>SUM(S108:$S$131)</f>
        <v>1560.1489724044475</v>
      </c>
      <c r="U108" s="24"/>
      <c r="V108"/>
      <c r="W108"/>
      <c r="X108"/>
      <c r="Y108"/>
      <c r="Z108"/>
      <c r="AA108"/>
      <c r="AB108"/>
    </row>
    <row r="109" spans="1:28" ht="12.75">
      <c r="A109" s="36">
        <f t="shared" si="19"/>
        <v>87</v>
      </c>
      <c r="B109" s="19">
        <v>1498</v>
      </c>
      <c r="C109" s="37">
        <f t="shared" si="20"/>
        <v>6317</v>
      </c>
      <c r="D109" s="38">
        <v>1908</v>
      </c>
      <c r="E109">
        <f t="shared" si="21"/>
        <v>9562</v>
      </c>
      <c r="F109" s="39">
        <v>1992</v>
      </c>
      <c r="G109" s="40">
        <f t="shared" si="22"/>
        <v>10065</v>
      </c>
      <c r="H109" s="41">
        <v>2061</v>
      </c>
      <c r="I109" s="37">
        <f t="shared" si="23"/>
        <v>10789</v>
      </c>
      <c r="J109" s="19">
        <v>2800</v>
      </c>
      <c r="K109" s="45">
        <f t="shared" si="25"/>
        <v>16807</v>
      </c>
      <c r="L109" s="36">
        <f t="shared" si="24"/>
        <v>87</v>
      </c>
      <c r="M109" s="44">
        <f t="shared" si="15"/>
        <v>2061</v>
      </c>
      <c r="N109" s="44">
        <f t="shared" si="16"/>
        <v>10789</v>
      </c>
      <c r="O109" s="61">
        <f t="shared" si="17"/>
        <v>355.69738641900113</v>
      </c>
      <c r="P109" s="59">
        <f>SUM(O109:$O$131)</f>
        <v>1357.2304721320909</v>
      </c>
      <c r="Q109" s="73">
        <f>SUM(P109:P$131)</f>
        <v>4600.253102726234</v>
      </c>
      <c r="R109" s="61">
        <f t="shared" si="18"/>
        <v>65.33473493386794</v>
      </c>
      <c r="S109" s="61">
        <f>SUM(R109:$R$131)</f>
        <v>303.49621441392065</v>
      </c>
      <c r="T109" s="59">
        <f>SUM(S109:$S$131)</f>
        <v>1180.2976604887745</v>
      </c>
      <c r="U109" s="24"/>
      <c r="V109"/>
      <c r="W109"/>
      <c r="X109"/>
      <c r="Y109"/>
      <c r="Z109"/>
      <c r="AA109"/>
      <c r="AB109"/>
    </row>
    <row r="110" spans="1:28" ht="12.75">
      <c r="A110" s="36">
        <f t="shared" si="19"/>
        <v>88</v>
      </c>
      <c r="B110" s="19">
        <v>1232</v>
      </c>
      <c r="C110" s="37">
        <f t="shared" si="20"/>
        <v>4819</v>
      </c>
      <c r="D110" s="38">
        <v>1655</v>
      </c>
      <c r="E110">
        <f t="shared" si="21"/>
        <v>7654</v>
      </c>
      <c r="F110" s="39">
        <v>1740</v>
      </c>
      <c r="G110" s="40">
        <f t="shared" si="22"/>
        <v>8073</v>
      </c>
      <c r="H110" s="41">
        <v>1801</v>
      </c>
      <c r="I110" s="37">
        <f t="shared" si="23"/>
        <v>8728</v>
      </c>
      <c r="J110" s="19">
        <v>2516</v>
      </c>
      <c r="K110" s="45">
        <f t="shared" si="25"/>
        <v>14007</v>
      </c>
      <c r="L110" s="36">
        <f t="shared" si="24"/>
        <v>88</v>
      </c>
      <c r="M110" s="44">
        <f t="shared" si="15"/>
        <v>1801</v>
      </c>
      <c r="N110" s="44">
        <f t="shared" si="16"/>
        <v>8728</v>
      </c>
      <c r="O110" s="61">
        <f t="shared" si="17"/>
        <v>276.68198277671</v>
      </c>
      <c r="P110" s="59">
        <f>SUM(O110:$O$131)</f>
        <v>1001.5330857130898</v>
      </c>
      <c r="Q110" s="73">
        <f>SUM(P110:P$131)</f>
        <v>3243.022630594143</v>
      </c>
      <c r="R110" s="61">
        <f t="shared" si="18"/>
        <v>54.89673497550487</v>
      </c>
      <c r="S110" s="61">
        <f>SUM(R110:$R$131)</f>
        <v>238.16147948005272</v>
      </c>
      <c r="T110" s="59">
        <f>SUM(S110:$S$131)</f>
        <v>876.8014460748535</v>
      </c>
      <c r="U110" s="24"/>
      <c r="V110"/>
      <c r="W110"/>
      <c r="X110"/>
      <c r="Y110"/>
      <c r="Z110"/>
      <c r="AA110"/>
      <c r="AB110"/>
    </row>
    <row r="111" spans="1:28" ht="12.75">
      <c r="A111" s="36">
        <f t="shared" si="19"/>
        <v>89</v>
      </c>
      <c r="B111" s="19">
        <v>985</v>
      </c>
      <c r="C111" s="37">
        <f t="shared" si="20"/>
        <v>3587</v>
      </c>
      <c r="D111" s="38">
        <v>1403</v>
      </c>
      <c r="E111">
        <f t="shared" si="21"/>
        <v>5999</v>
      </c>
      <c r="F111" s="39">
        <v>1481</v>
      </c>
      <c r="G111" s="40">
        <f t="shared" si="22"/>
        <v>6333</v>
      </c>
      <c r="H111" s="41">
        <v>1543</v>
      </c>
      <c r="I111" s="37">
        <f t="shared" si="23"/>
        <v>6927</v>
      </c>
      <c r="J111" s="19">
        <v>2220</v>
      </c>
      <c r="K111" s="45">
        <f t="shared" si="25"/>
        <v>11491</v>
      </c>
      <c r="L111" s="36">
        <f t="shared" si="24"/>
        <v>89</v>
      </c>
      <c r="M111" s="44">
        <f t="shared" si="15"/>
        <v>1543</v>
      </c>
      <c r="N111" s="44">
        <f t="shared" si="16"/>
        <v>6927</v>
      </c>
      <c r="O111" s="61">
        <f t="shared" si="17"/>
        <v>211.143633079024</v>
      </c>
      <c r="P111" s="59">
        <f>SUM(O111:$O$131)</f>
        <v>724.8511029363798</v>
      </c>
      <c r="Q111" s="73">
        <f>SUM(P111:P$131)</f>
        <v>2241.4895448810535</v>
      </c>
      <c r="R111" s="61">
        <f t="shared" si="18"/>
        <v>45.223626867127244</v>
      </c>
      <c r="S111" s="61">
        <f>SUM(R111:$R$131)</f>
        <v>183.26474450454782</v>
      </c>
      <c r="T111" s="59">
        <f>SUM(S111:$S$131)</f>
        <v>638.6399665948007</v>
      </c>
      <c r="U111" s="24"/>
      <c r="V111"/>
      <c r="W111"/>
      <c r="X111"/>
      <c r="Y111"/>
      <c r="Z111"/>
      <c r="AA111"/>
      <c r="AB111"/>
    </row>
    <row r="112" spans="1:28" ht="12.75">
      <c r="A112" s="36">
        <f t="shared" si="19"/>
        <v>90</v>
      </c>
      <c r="B112" s="19">
        <v>766</v>
      </c>
      <c r="C112" s="37">
        <f t="shared" si="20"/>
        <v>2602</v>
      </c>
      <c r="D112" s="38">
        <v>1161</v>
      </c>
      <c r="E112">
        <f t="shared" si="21"/>
        <v>4596</v>
      </c>
      <c r="F112" s="39">
        <v>1226</v>
      </c>
      <c r="G112" s="40">
        <f t="shared" si="22"/>
        <v>4852</v>
      </c>
      <c r="H112" s="41">
        <v>1293</v>
      </c>
      <c r="I112" s="37">
        <f t="shared" si="23"/>
        <v>5384</v>
      </c>
      <c r="J112" s="19">
        <v>1928</v>
      </c>
      <c r="K112" s="45">
        <f t="shared" si="25"/>
        <v>9271</v>
      </c>
      <c r="L112" s="36">
        <f t="shared" si="24"/>
        <v>90</v>
      </c>
      <c r="M112" s="44">
        <f t="shared" si="15"/>
        <v>1293</v>
      </c>
      <c r="N112" s="44">
        <f t="shared" si="16"/>
        <v>5384</v>
      </c>
      <c r="O112" s="61">
        <f t="shared" si="17"/>
        <v>157.7990972473189</v>
      </c>
      <c r="P112" s="59">
        <f>SUM(O112:$O$131)</f>
        <v>513.7074698573558</v>
      </c>
      <c r="Q112" s="73">
        <f>SUM(P112:P$131)</f>
        <v>1516.6384419446726</v>
      </c>
      <c r="R112" s="61">
        <f t="shared" si="18"/>
        <v>36.438848857866496</v>
      </c>
      <c r="S112" s="61">
        <f>SUM(R112:$R$131)</f>
        <v>138.0411176374206</v>
      </c>
      <c r="T112" s="59">
        <f>SUM(S112:$S$131)</f>
        <v>455.375222090253</v>
      </c>
      <c r="U112" s="24"/>
      <c r="V112"/>
      <c r="W112"/>
      <c r="X112"/>
      <c r="Y112"/>
      <c r="Z112"/>
      <c r="AA112"/>
      <c r="AB112"/>
    </row>
    <row r="113" spans="1:28" ht="12.75">
      <c r="A113" s="36">
        <f t="shared" si="19"/>
        <v>91</v>
      </c>
      <c r="B113" s="19">
        <v>577</v>
      </c>
      <c r="C113" s="37">
        <f t="shared" si="20"/>
        <v>1836</v>
      </c>
      <c r="D113" s="38">
        <v>935</v>
      </c>
      <c r="E113">
        <f t="shared" si="21"/>
        <v>3435</v>
      </c>
      <c r="F113" s="39">
        <v>986</v>
      </c>
      <c r="G113" s="40">
        <f t="shared" si="22"/>
        <v>3626</v>
      </c>
      <c r="H113" s="41">
        <v>1057</v>
      </c>
      <c r="I113" s="37">
        <f t="shared" si="23"/>
        <v>4091</v>
      </c>
      <c r="J113" s="19">
        <v>1672</v>
      </c>
      <c r="K113" s="45">
        <f t="shared" si="25"/>
        <v>7343</v>
      </c>
      <c r="L113" s="36">
        <f t="shared" si="24"/>
        <v>91</v>
      </c>
      <c r="M113" s="44">
        <f t="shared" si="15"/>
        <v>1057</v>
      </c>
      <c r="N113" s="44">
        <f t="shared" si="16"/>
        <v>4091</v>
      </c>
      <c r="O113" s="61">
        <f t="shared" si="17"/>
        <v>115.2910523414786</v>
      </c>
      <c r="P113" s="59">
        <f>SUM(O113:$O$131)</f>
        <v>355.90837261003696</v>
      </c>
      <c r="Q113" s="73">
        <f>SUM(P113:P$131)</f>
        <v>1002.9309720873168</v>
      </c>
      <c r="R113" s="61">
        <f t="shared" si="18"/>
        <v>28.642292256205664</v>
      </c>
      <c r="S113" s="61">
        <f>SUM(R113:$R$131)</f>
        <v>101.6022687795541</v>
      </c>
      <c r="T113" s="59">
        <f>SUM(S113:$S$131)</f>
        <v>317.3341044528323</v>
      </c>
      <c r="U113" s="24"/>
      <c r="V113"/>
      <c r="W113"/>
      <c r="X113"/>
      <c r="Y113"/>
      <c r="Z113"/>
      <c r="AA113"/>
      <c r="AB113"/>
    </row>
    <row r="114" spans="1:28" ht="12.75">
      <c r="A114" s="36">
        <f t="shared" si="19"/>
        <v>92</v>
      </c>
      <c r="B114" s="19">
        <v>421</v>
      </c>
      <c r="C114" s="37">
        <f t="shared" si="20"/>
        <v>1259</v>
      </c>
      <c r="D114" s="38">
        <v>731</v>
      </c>
      <c r="E114">
        <f t="shared" si="21"/>
        <v>2500</v>
      </c>
      <c r="F114" s="39">
        <v>769</v>
      </c>
      <c r="G114" s="40">
        <f t="shared" si="22"/>
        <v>2640</v>
      </c>
      <c r="H114" s="41">
        <v>843</v>
      </c>
      <c r="I114" s="37">
        <f t="shared" si="23"/>
        <v>3034</v>
      </c>
      <c r="J114" s="19">
        <v>1387</v>
      </c>
      <c r="K114" s="45">
        <f t="shared" si="25"/>
        <v>5671</v>
      </c>
      <c r="L114" s="36">
        <f t="shared" si="24"/>
        <v>92</v>
      </c>
      <c r="M114" s="44">
        <f t="shared" si="15"/>
        <v>843</v>
      </c>
      <c r="N114" s="44">
        <f t="shared" si="16"/>
        <v>3034</v>
      </c>
      <c r="O114" s="61">
        <f t="shared" si="17"/>
        <v>82.2144888413699</v>
      </c>
      <c r="P114" s="59">
        <f>SUM(O114:$O$131)</f>
        <v>240.6173202685583</v>
      </c>
      <c r="Q114" s="73">
        <f>SUM(P114:P$131)</f>
        <v>647.0225994772799</v>
      </c>
      <c r="R114" s="61">
        <f t="shared" si="18"/>
        <v>21.964788199531853</v>
      </c>
      <c r="S114" s="61">
        <f>SUM(R114:$R$131)</f>
        <v>72.95997652334842</v>
      </c>
      <c r="T114" s="59">
        <f>SUM(S114:$S$131)</f>
        <v>215.73183567327834</v>
      </c>
      <c r="U114" s="24"/>
      <c r="V114"/>
      <c r="W114"/>
      <c r="X114"/>
      <c r="Y114"/>
      <c r="Z114"/>
      <c r="AA114"/>
      <c r="AB114"/>
    </row>
    <row r="115" spans="1:28" ht="12.75">
      <c r="A115" s="36">
        <f t="shared" si="19"/>
        <v>93</v>
      </c>
      <c r="B115" s="19">
        <v>297</v>
      </c>
      <c r="C115" s="37">
        <f t="shared" si="20"/>
        <v>838</v>
      </c>
      <c r="D115" s="38">
        <v>554</v>
      </c>
      <c r="E115">
        <f t="shared" si="21"/>
        <v>1769</v>
      </c>
      <c r="F115" s="39">
        <v>582</v>
      </c>
      <c r="G115" s="40">
        <f t="shared" si="22"/>
        <v>1871</v>
      </c>
      <c r="H115" s="41">
        <v>654</v>
      </c>
      <c r="I115" s="37">
        <f t="shared" si="23"/>
        <v>2191</v>
      </c>
      <c r="J115" s="19">
        <v>1125</v>
      </c>
      <c r="K115" s="45">
        <f t="shared" si="25"/>
        <v>4284</v>
      </c>
      <c r="L115" s="36">
        <f t="shared" si="24"/>
        <v>93</v>
      </c>
      <c r="M115" s="44">
        <f t="shared" si="15"/>
        <v>654</v>
      </c>
      <c r="N115" s="44">
        <f t="shared" si="16"/>
        <v>2191</v>
      </c>
      <c r="O115" s="61">
        <f t="shared" si="17"/>
        <v>57.087604917169976</v>
      </c>
      <c r="P115" s="59">
        <f>SUM(O115:$O$131)</f>
        <v>158.40283142718837</v>
      </c>
      <c r="Q115" s="73">
        <f>SUM(P115:P$131)</f>
        <v>406.40527920872165</v>
      </c>
      <c r="R115" s="61">
        <f t="shared" si="18"/>
        <v>16.38490222932502</v>
      </c>
      <c r="S115" s="61">
        <f>SUM(R115:$R$131)</f>
        <v>50.99518832381656</v>
      </c>
      <c r="T115" s="59">
        <f>SUM(S115:$S$131)</f>
        <v>142.77185914992992</v>
      </c>
      <c r="U115" s="24"/>
      <c r="V115"/>
      <c r="W115"/>
      <c r="X115"/>
      <c r="Y115"/>
      <c r="Z115"/>
      <c r="AA115"/>
      <c r="AB115"/>
    </row>
    <row r="116" spans="1:28" ht="12.75">
      <c r="A116" s="36">
        <f t="shared" si="19"/>
        <v>94</v>
      </c>
      <c r="B116" s="19">
        <v>203</v>
      </c>
      <c r="C116" s="37">
        <f t="shared" si="20"/>
        <v>541</v>
      </c>
      <c r="D116" s="38">
        <v>407</v>
      </c>
      <c r="E116">
        <f t="shared" si="21"/>
        <v>1215</v>
      </c>
      <c r="F116" s="39">
        <v>426</v>
      </c>
      <c r="G116" s="40">
        <f t="shared" si="22"/>
        <v>1289</v>
      </c>
      <c r="H116" s="41">
        <v>492</v>
      </c>
      <c r="I116" s="37">
        <f t="shared" si="23"/>
        <v>1537</v>
      </c>
      <c r="J116" s="19">
        <v>889</v>
      </c>
      <c r="K116" s="45">
        <f t="shared" si="25"/>
        <v>3159</v>
      </c>
      <c r="L116" s="36">
        <f t="shared" si="24"/>
        <v>94</v>
      </c>
      <c r="M116" s="44">
        <f t="shared" si="15"/>
        <v>492</v>
      </c>
      <c r="N116" s="44">
        <f t="shared" si="16"/>
        <v>1537</v>
      </c>
      <c r="O116" s="61">
        <f t="shared" si="17"/>
        <v>38.50702557564612</v>
      </c>
      <c r="P116" s="59">
        <f>SUM(O116:$O$131)</f>
        <v>101.31522651001842</v>
      </c>
      <c r="Q116" s="73">
        <f>SUM(P116:P$131)</f>
        <v>248.0024477815333</v>
      </c>
      <c r="R116" s="61">
        <f t="shared" si="18"/>
        <v>11.852169925940823</v>
      </c>
      <c r="S116" s="61">
        <f>SUM(R116:$R$131)</f>
        <v>34.610286094491556</v>
      </c>
      <c r="T116" s="59">
        <f>SUM(S116:$S$131)</f>
        <v>91.77667082611329</v>
      </c>
      <c r="U116" s="24"/>
      <c r="V116"/>
      <c r="W116"/>
      <c r="X116"/>
      <c r="Y116"/>
      <c r="Z116"/>
      <c r="AA116"/>
      <c r="AB116"/>
    </row>
    <row r="117" spans="1:28" ht="12.75">
      <c r="A117" s="36">
        <f t="shared" si="19"/>
        <v>95</v>
      </c>
      <c r="B117" s="19">
        <v>133</v>
      </c>
      <c r="C117" s="37">
        <f t="shared" si="20"/>
        <v>338</v>
      </c>
      <c r="D117" s="38">
        <v>289</v>
      </c>
      <c r="E117">
        <f t="shared" si="21"/>
        <v>808</v>
      </c>
      <c r="F117" s="39">
        <v>302</v>
      </c>
      <c r="G117" s="40">
        <f t="shared" si="22"/>
        <v>863</v>
      </c>
      <c r="H117" s="41">
        <v>359</v>
      </c>
      <c r="I117" s="37">
        <f t="shared" si="23"/>
        <v>1045</v>
      </c>
      <c r="J117" s="19">
        <v>684</v>
      </c>
      <c r="K117" s="45">
        <f t="shared" si="25"/>
        <v>2270</v>
      </c>
      <c r="L117" s="36">
        <f t="shared" si="24"/>
        <v>95</v>
      </c>
      <c r="M117" s="44">
        <f t="shared" si="15"/>
        <v>359</v>
      </c>
      <c r="N117" s="44">
        <f t="shared" si="16"/>
        <v>1045</v>
      </c>
      <c r="O117" s="61">
        <f t="shared" si="17"/>
        <v>25.17381620448813</v>
      </c>
      <c r="P117" s="59">
        <f>SUM(O117:$O$131)</f>
        <v>62.80820093437231</v>
      </c>
      <c r="Q117" s="73">
        <f>SUM(P117:P$131)</f>
        <v>146.6872212715149</v>
      </c>
      <c r="R117" s="61">
        <f t="shared" si="18"/>
        <v>8.31560546320504</v>
      </c>
      <c r="S117" s="61">
        <f>SUM(R117:$R$131)</f>
        <v>22.758116168550735</v>
      </c>
      <c r="T117" s="59">
        <f>SUM(S117:$S$131)</f>
        <v>57.16638473162174</v>
      </c>
      <c r="U117" s="24"/>
      <c r="V117"/>
      <c r="W117"/>
      <c r="X117"/>
      <c r="Y117"/>
      <c r="Z117"/>
      <c r="AA117"/>
      <c r="AB117"/>
    </row>
    <row r="118" spans="1:28" ht="12.75">
      <c r="A118" s="36">
        <f t="shared" si="19"/>
        <v>96</v>
      </c>
      <c r="B118" s="19">
        <v>85</v>
      </c>
      <c r="C118" s="37">
        <f t="shared" si="20"/>
        <v>205</v>
      </c>
      <c r="D118" s="38">
        <v>197</v>
      </c>
      <c r="E118">
        <f t="shared" si="21"/>
        <v>519</v>
      </c>
      <c r="F118" s="39">
        <v>207</v>
      </c>
      <c r="G118" s="40">
        <f t="shared" si="22"/>
        <v>561</v>
      </c>
      <c r="H118" s="41">
        <v>252</v>
      </c>
      <c r="I118" s="37">
        <f t="shared" si="23"/>
        <v>686</v>
      </c>
      <c r="J118" s="19">
        <v>510</v>
      </c>
      <c r="K118" s="45">
        <f t="shared" si="25"/>
        <v>1586</v>
      </c>
      <c r="L118" s="36">
        <f t="shared" si="24"/>
        <v>96</v>
      </c>
      <c r="M118" s="44">
        <f aca="true" t="shared" si="26" ref="M118:M131">IF($C$6=71,F118,IF($C$6=81,H118,IF($C$6=51,B118,IF($C$6=61,D118,IF($C$6=92,J118)))))</f>
        <v>252</v>
      </c>
      <c r="N118" s="44">
        <f aca="true" t="shared" si="27" ref="N118:N131">IF($C$6=71,G118,IF($C$6=81,I118,IF($C$6=51,C118,IF($C$6=61,E118,IF($C$6=92,K118)))))</f>
        <v>686</v>
      </c>
      <c r="O118" s="61">
        <f aca="true" t="shared" si="28" ref="O118:O131">((1+$C$7)^-A118)*IF($C$6=71,G118,IF($C$6=81,I118,IF($C$6=51,C118,IF($C$6=61,E118,IF($C$6=92,K118)))))</f>
        <v>15.889987041110466</v>
      </c>
      <c r="P118" s="59">
        <f>SUM(O118:$O$131)</f>
        <v>37.63438472988419</v>
      </c>
      <c r="Q118" s="73">
        <f>SUM(P118:P$131)</f>
        <v>83.87902033714256</v>
      </c>
      <c r="R118" s="61">
        <f aca="true" t="shared" si="29" ref="R118:R131">((1+$C$7)^-(A118+1))*IF($C$6=71,F118,IF($C$6=81,H118,IF($C$6=51,B118,IF($C$6=61,D118,IF($C$6=92,J118)))))</f>
        <v>5.612632785321594</v>
      </c>
      <c r="S118" s="61">
        <f>SUM(R118:$R$131)</f>
        <v>14.442510705345688</v>
      </c>
      <c r="T118" s="59">
        <f>SUM(S118:$S$131)</f>
        <v>34.408268563071</v>
      </c>
      <c r="U118" s="24"/>
      <c r="V118"/>
      <c r="W118"/>
      <c r="X118"/>
      <c r="Y118"/>
      <c r="Z118"/>
      <c r="AA118"/>
      <c r="AB118"/>
    </row>
    <row r="119" spans="1:28" ht="12.75">
      <c r="A119" s="36">
        <f t="shared" si="19"/>
        <v>97</v>
      </c>
      <c r="B119" s="19">
        <v>52.01</v>
      </c>
      <c r="C119" s="37">
        <f t="shared" si="20"/>
        <v>120</v>
      </c>
      <c r="D119" s="38">
        <v>130</v>
      </c>
      <c r="E119">
        <f t="shared" si="21"/>
        <v>322</v>
      </c>
      <c r="F119" s="39">
        <v>138</v>
      </c>
      <c r="G119" s="40">
        <f t="shared" si="22"/>
        <v>354</v>
      </c>
      <c r="H119" s="41">
        <v>170</v>
      </c>
      <c r="I119" s="37">
        <f t="shared" si="23"/>
        <v>434</v>
      </c>
      <c r="J119" s="19">
        <v>370</v>
      </c>
      <c r="K119" s="45">
        <f t="shared" si="25"/>
        <v>1076</v>
      </c>
      <c r="L119" s="36">
        <f t="shared" si="24"/>
        <v>97</v>
      </c>
      <c r="M119" s="44">
        <f t="shared" si="26"/>
        <v>170</v>
      </c>
      <c r="N119" s="44">
        <f t="shared" si="27"/>
        <v>434</v>
      </c>
      <c r="O119" s="61">
        <f t="shared" si="28"/>
        <v>9.666200908053856</v>
      </c>
      <c r="P119" s="59">
        <f>SUM(O119:$O$131)</f>
        <v>21.744397688773713</v>
      </c>
      <c r="Q119" s="73">
        <f>SUM(P119:P$131)</f>
        <v>46.24463560725838</v>
      </c>
      <c r="R119" s="61">
        <f t="shared" si="29"/>
        <v>3.6406729758267353</v>
      </c>
      <c r="S119" s="61">
        <f>SUM(R119:$R$131)</f>
        <v>8.829877920024096</v>
      </c>
      <c r="T119" s="59">
        <f>SUM(S119:$S$131)</f>
        <v>19.96575785772531</v>
      </c>
      <c r="U119" s="24"/>
      <c r="V119"/>
      <c r="W119"/>
      <c r="X119"/>
      <c r="Y119"/>
      <c r="Z119"/>
      <c r="AA119"/>
      <c r="AB119"/>
    </row>
    <row r="120" spans="1:28" ht="12.75">
      <c r="A120" s="36">
        <f t="shared" si="19"/>
        <v>98</v>
      </c>
      <c r="B120" s="19">
        <v>30.75</v>
      </c>
      <c r="C120" s="37">
        <f t="shared" si="20"/>
        <v>67.99000000000001</v>
      </c>
      <c r="D120" s="38">
        <v>82</v>
      </c>
      <c r="E120">
        <f t="shared" si="21"/>
        <v>192</v>
      </c>
      <c r="F120" s="39">
        <v>88</v>
      </c>
      <c r="G120" s="40">
        <f t="shared" si="22"/>
        <v>216</v>
      </c>
      <c r="H120" s="41">
        <v>110</v>
      </c>
      <c r="I120" s="37">
        <f t="shared" si="23"/>
        <v>264</v>
      </c>
      <c r="J120" s="19">
        <v>259</v>
      </c>
      <c r="K120" s="45">
        <f t="shared" si="25"/>
        <v>706</v>
      </c>
      <c r="L120" s="36">
        <f t="shared" si="24"/>
        <v>98</v>
      </c>
      <c r="M120" s="44">
        <f t="shared" si="26"/>
        <v>110</v>
      </c>
      <c r="N120" s="44">
        <f t="shared" si="27"/>
        <v>264</v>
      </c>
      <c r="O120" s="61">
        <f t="shared" si="28"/>
        <v>5.653750974225048</v>
      </c>
      <c r="P120" s="59">
        <f>SUM(O120:$O$131)</f>
        <v>12.078196780719855</v>
      </c>
      <c r="Q120" s="73">
        <f>SUM(P120:P$131)</f>
        <v>24.50023791848466</v>
      </c>
      <c r="R120" s="61">
        <f t="shared" si="29"/>
        <v>2.265124589032471</v>
      </c>
      <c r="S120" s="61">
        <f>SUM(R120:$R$131)</f>
        <v>5.1892049441973604</v>
      </c>
      <c r="T120" s="59">
        <f>SUM(S120:$S$131)</f>
        <v>11.135879937701217</v>
      </c>
      <c r="U120" s="24"/>
      <c r="V120"/>
      <c r="W120"/>
      <c r="X120"/>
      <c r="Y120"/>
      <c r="Z120"/>
      <c r="AA120"/>
      <c r="AB120"/>
    </row>
    <row r="121" spans="1:28" ht="12.75">
      <c r="A121" s="36">
        <f t="shared" si="19"/>
        <v>99</v>
      </c>
      <c r="B121" s="19">
        <v>17.53</v>
      </c>
      <c r="C121" s="37">
        <f t="shared" si="20"/>
        <v>37.24000000000001</v>
      </c>
      <c r="D121" s="38">
        <v>49.25</v>
      </c>
      <c r="E121">
        <f t="shared" si="21"/>
        <v>110</v>
      </c>
      <c r="F121" s="39">
        <v>55</v>
      </c>
      <c r="G121" s="40">
        <f t="shared" si="22"/>
        <v>128</v>
      </c>
      <c r="H121" s="41">
        <v>69</v>
      </c>
      <c r="I121" s="37">
        <f t="shared" si="23"/>
        <v>154</v>
      </c>
      <c r="J121" s="19">
        <v>175</v>
      </c>
      <c r="K121" s="45">
        <f t="shared" si="25"/>
        <v>447</v>
      </c>
      <c r="L121" s="36">
        <f t="shared" si="24"/>
        <v>99</v>
      </c>
      <c r="M121" s="44">
        <f t="shared" si="26"/>
        <v>69</v>
      </c>
      <c r="N121" s="44">
        <f t="shared" si="27"/>
        <v>154</v>
      </c>
      <c r="O121" s="61">
        <f t="shared" si="28"/>
        <v>3.1711744246454594</v>
      </c>
      <c r="P121" s="59">
        <f>SUM(O121:$O$131)</f>
        <v>6.42444580649481</v>
      </c>
      <c r="Q121" s="73">
        <f>SUM(P121:P$131)</f>
        <v>12.422041137764808</v>
      </c>
      <c r="R121" s="61">
        <f t="shared" si="29"/>
        <v>1.3662027678604938</v>
      </c>
      <c r="S121" s="61">
        <f>SUM(R121:$R$131)</f>
        <v>2.9240803551648895</v>
      </c>
      <c r="T121" s="59">
        <f>SUM(S121:$S$131)</f>
        <v>5.946674993503854</v>
      </c>
      <c r="U121" s="24"/>
      <c r="V121"/>
      <c r="W121"/>
      <c r="X121"/>
      <c r="Y121"/>
      <c r="Z121"/>
      <c r="AA121"/>
      <c r="AB121"/>
    </row>
    <row r="122" spans="1:28" ht="12.75">
      <c r="A122" s="36">
        <f t="shared" si="19"/>
        <v>100</v>
      </c>
      <c r="B122" s="19">
        <v>9.63</v>
      </c>
      <c r="C122" s="37">
        <f t="shared" si="20"/>
        <v>19.710000000000008</v>
      </c>
      <c r="D122" s="38">
        <v>28.55</v>
      </c>
      <c r="E122">
        <f t="shared" si="21"/>
        <v>60.75</v>
      </c>
      <c r="F122" s="39">
        <v>32</v>
      </c>
      <c r="G122" s="40">
        <f t="shared" si="22"/>
        <v>73</v>
      </c>
      <c r="H122" s="41">
        <v>40</v>
      </c>
      <c r="I122" s="37">
        <f t="shared" si="23"/>
        <v>85</v>
      </c>
      <c r="J122" s="19">
        <v>113</v>
      </c>
      <c r="K122" s="45">
        <f t="shared" si="25"/>
        <v>272</v>
      </c>
      <c r="L122" s="36">
        <f t="shared" si="24"/>
        <v>100</v>
      </c>
      <c r="M122" s="44">
        <f t="shared" si="26"/>
        <v>40</v>
      </c>
      <c r="N122" s="44">
        <f t="shared" si="27"/>
        <v>85</v>
      </c>
      <c r="O122" s="61">
        <f t="shared" si="28"/>
        <v>1.6830034096832172</v>
      </c>
      <c r="P122" s="59">
        <f>SUM(O122:$O$131)</f>
        <v>3.2532713818493497</v>
      </c>
      <c r="Q122" s="73">
        <f>SUM(P122:P$131)</f>
        <v>5.997595331269998</v>
      </c>
      <c r="R122" s="61">
        <f t="shared" si="29"/>
        <v>0.7615400043815461</v>
      </c>
      <c r="S122" s="61">
        <f>SUM(R122:$R$131)</f>
        <v>1.5578775873043957</v>
      </c>
      <c r="T122" s="59">
        <f>SUM(S122:$S$131)</f>
        <v>3.022594638338965</v>
      </c>
      <c r="U122" s="24"/>
      <c r="V122"/>
      <c r="W122"/>
      <c r="X122"/>
      <c r="Y122"/>
      <c r="Z122"/>
      <c r="AA122"/>
      <c r="AB122"/>
    </row>
    <row r="123" spans="1:28" ht="12.75">
      <c r="A123" s="36">
        <f t="shared" si="19"/>
        <v>101</v>
      </c>
      <c r="B123" s="19">
        <v>5.1</v>
      </c>
      <c r="C123" s="37">
        <f t="shared" si="20"/>
        <v>10.080000000000007</v>
      </c>
      <c r="D123" s="38">
        <v>15.83</v>
      </c>
      <c r="E123">
        <f t="shared" si="21"/>
        <v>32.2</v>
      </c>
      <c r="F123" s="39">
        <v>19</v>
      </c>
      <c r="G123" s="40">
        <f t="shared" si="22"/>
        <v>41</v>
      </c>
      <c r="H123" s="41">
        <v>23</v>
      </c>
      <c r="I123" s="37">
        <f t="shared" si="23"/>
        <v>45</v>
      </c>
      <c r="J123" s="19">
        <v>70</v>
      </c>
      <c r="K123" s="45">
        <f t="shared" si="25"/>
        <v>159</v>
      </c>
      <c r="L123" s="36">
        <f t="shared" si="24"/>
        <v>101</v>
      </c>
      <c r="M123" s="44">
        <f t="shared" si="26"/>
        <v>23</v>
      </c>
      <c r="N123" s="44">
        <f t="shared" si="27"/>
        <v>45</v>
      </c>
      <c r="O123" s="61">
        <f t="shared" si="28"/>
        <v>0.8567325049292394</v>
      </c>
      <c r="P123" s="59">
        <f>SUM(O123:$O$131)</f>
        <v>1.5702679721661328</v>
      </c>
      <c r="Q123" s="73">
        <f>SUM(P123:P$131)</f>
        <v>2.744323949420648</v>
      </c>
      <c r="R123" s="61">
        <f t="shared" si="29"/>
        <v>0.4210437524224894</v>
      </c>
      <c r="S123" s="61">
        <f>SUM(R123:$R$131)</f>
        <v>0.7963375829228495</v>
      </c>
      <c r="T123" s="59">
        <f>SUM(S123:$S$131)</f>
        <v>1.464717051034569</v>
      </c>
      <c r="U123" s="24"/>
      <c r="V123"/>
      <c r="W123"/>
      <c r="X123"/>
      <c r="Y123"/>
      <c r="Z123"/>
      <c r="AA123"/>
      <c r="AB123"/>
    </row>
    <row r="124" spans="1:28" ht="12.75">
      <c r="A124" s="36">
        <f t="shared" si="19"/>
        <v>102</v>
      </c>
      <c r="B124" s="19">
        <v>2.6</v>
      </c>
      <c r="C124" s="37">
        <f t="shared" si="20"/>
        <v>4.9800000000000075</v>
      </c>
      <c r="D124" s="38">
        <v>8.4</v>
      </c>
      <c r="E124">
        <f t="shared" si="21"/>
        <v>16.370000000000005</v>
      </c>
      <c r="F124" s="39">
        <v>11</v>
      </c>
      <c r="G124" s="40">
        <f t="shared" si="22"/>
        <v>22</v>
      </c>
      <c r="H124" s="41">
        <v>11</v>
      </c>
      <c r="I124" s="37">
        <f t="shared" si="23"/>
        <v>22</v>
      </c>
      <c r="J124" s="19">
        <v>42</v>
      </c>
      <c r="K124" s="45">
        <f t="shared" si="25"/>
        <v>89</v>
      </c>
      <c r="L124" s="36">
        <f t="shared" si="24"/>
        <v>102</v>
      </c>
      <c r="M124" s="44">
        <f t="shared" si="26"/>
        <v>11</v>
      </c>
      <c r="N124" s="44">
        <f t="shared" si="27"/>
        <v>22</v>
      </c>
      <c r="O124" s="61">
        <f t="shared" si="28"/>
        <v>0.40273750231716376</v>
      </c>
      <c r="P124" s="59">
        <f>SUM(O124:$O$131)</f>
        <v>0.7135354672368933</v>
      </c>
      <c r="Q124" s="73">
        <f>SUM(P124:P$131)</f>
        <v>1.1740559772545154</v>
      </c>
      <c r="R124" s="61">
        <f t="shared" si="29"/>
        <v>0.19362379919094416</v>
      </c>
      <c r="S124" s="61">
        <f>SUM(R124:$R$131)</f>
        <v>0.3752938305003602</v>
      </c>
      <c r="T124" s="59">
        <f>SUM(S124:$S$131)</f>
        <v>0.6683794681117197</v>
      </c>
      <c r="U124" s="24"/>
      <c r="V124"/>
      <c r="W124"/>
      <c r="X124"/>
      <c r="Y124"/>
      <c r="Z124"/>
      <c r="AA124"/>
      <c r="AB124"/>
    </row>
    <row r="125" spans="1:28" ht="12.75">
      <c r="A125" s="36">
        <f t="shared" si="19"/>
        <v>103</v>
      </c>
      <c r="B125" s="19">
        <v>1.28</v>
      </c>
      <c r="C125" s="37">
        <f t="shared" si="20"/>
        <v>2.3800000000000074</v>
      </c>
      <c r="D125" s="38">
        <v>4.25</v>
      </c>
      <c r="E125">
        <f t="shared" si="21"/>
        <v>7.970000000000004</v>
      </c>
      <c r="F125" s="39">
        <v>5</v>
      </c>
      <c r="G125" s="40">
        <f t="shared" si="22"/>
        <v>11</v>
      </c>
      <c r="H125" s="41">
        <v>6</v>
      </c>
      <c r="I125" s="37">
        <f t="shared" si="23"/>
        <v>11</v>
      </c>
      <c r="J125" s="19">
        <v>23</v>
      </c>
      <c r="K125" s="45">
        <f t="shared" si="25"/>
        <v>47</v>
      </c>
      <c r="L125" s="36">
        <f t="shared" si="24"/>
        <v>103</v>
      </c>
      <c r="M125" s="44">
        <f t="shared" si="26"/>
        <v>6</v>
      </c>
      <c r="N125" s="44">
        <f t="shared" si="27"/>
        <v>11</v>
      </c>
      <c r="O125" s="61">
        <f t="shared" si="28"/>
        <v>0.19362379919094416</v>
      </c>
      <c r="P125" s="59">
        <f>SUM(O125:$O$131)</f>
        <v>0.31079796491972955</v>
      </c>
      <c r="Q125" s="73">
        <f>SUM(P125:P$131)</f>
        <v>0.46052051001762206</v>
      </c>
      <c r="R125" s="61">
        <f t="shared" si="29"/>
        <v>0.10155094363161403</v>
      </c>
      <c r="S125" s="61">
        <f>SUM(R125:$R$131)</f>
        <v>0.18167003130941603</v>
      </c>
      <c r="T125" s="59">
        <f>SUM(S125:$S$131)</f>
        <v>0.2930856376113594</v>
      </c>
      <c r="U125" s="24"/>
      <c r="V125"/>
      <c r="W125"/>
      <c r="X125"/>
      <c r="Y125"/>
      <c r="Z125"/>
      <c r="AA125"/>
      <c r="AB125"/>
    </row>
    <row r="126" spans="1:28" ht="12.75">
      <c r="A126" s="36">
        <v>104</v>
      </c>
      <c r="B126" s="19">
        <v>0.61</v>
      </c>
      <c r="C126" s="37">
        <f t="shared" si="20"/>
        <v>1.1000000000000074</v>
      </c>
      <c r="D126" s="38">
        <v>2.06</v>
      </c>
      <c r="E126">
        <f t="shared" si="21"/>
        <v>3.720000000000004</v>
      </c>
      <c r="F126" s="39">
        <v>3</v>
      </c>
      <c r="G126" s="40">
        <f t="shared" si="22"/>
        <v>6</v>
      </c>
      <c r="H126" s="41">
        <v>3</v>
      </c>
      <c r="I126" s="37">
        <f t="shared" si="23"/>
        <v>5</v>
      </c>
      <c r="J126" s="19">
        <v>13</v>
      </c>
      <c r="K126" s="45">
        <f t="shared" si="25"/>
        <v>24</v>
      </c>
      <c r="L126" s="36">
        <v>104</v>
      </c>
      <c r="M126" s="44">
        <f t="shared" si="26"/>
        <v>3</v>
      </c>
      <c r="N126" s="44">
        <f t="shared" si="27"/>
        <v>5</v>
      </c>
      <c r="O126" s="61">
        <f t="shared" si="28"/>
        <v>0.08462578635967835</v>
      </c>
      <c r="P126" s="59">
        <f>SUM(O126:$O$131)</f>
        <v>0.11717416572878542</v>
      </c>
      <c r="Q126" s="73">
        <f>SUM(P126:P$131)</f>
        <v>0.14972254509789248</v>
      </c>
      <c r="R126" s="61">
        <f t="shared" si="29"/>
        <v>0.0488225690536606</v>
      </c>
      <c r="S126" s="61">
        <f>SUM(R126:$R$131)</f>
        <v>0.08011908767780201</v>
      </c>
      <c r="T126" s="59">
        <f>SUM(S126:$S$131)</f>
        <v>0.11141560630194342</v>
      </c>
      <c r="U126" s="24"/>
      <c r="V126"/>
      <c r="W126"/>
      <c r="X126"/>
      <c r="Y126"/>
      <c r="Z126"/>
      <c r="AA126"/>
      <c r="AB126"/>
    </row>
    <row r="127" spans="1:28" ht="12.75">
      <c r="A127" s="36">
        <v>105</v>
      </c>
      <c r="B127" s="37">
        <v>0.49</v>
      </c>
      <c r="C127" s="55">
        <f t="shared" si="20"/>
        <v>0.49000000000000743</v>
      </c>
      <c r="D127" s="38">
        <v>0.95</v>
      </c>
      <c r="E127">
        <f t="shared" si="21"/>
        <v>1.6600000000000041</v>
      </c>
      <c r="F127" s="39">
        <v>2</v>
      </c>
      <c r="G127" s="40">
        <f t="shared" si="22"/>
        <v>3</v>
      </c>
      <c r="H127" s="56">
        <v>2</v>
      </c>
      <c r="I127" s="37">
        <f t="shared" si="23"/>
        <v>2</v>
      </c>
      <c r="J127" s="19">
        <v>6</v>
      </c>
      <c r="K127" s="45">
        <f t="shared" si="25"/>
        <v>11</v>
      </c>
      <c r="L127" s="36">
        <v>105</v>
      </c>
      <c r="M127" s="44">
        <f t="shared" si="26"/>
        <v>2</v>
      </c>
      <c r="N127" s="44">
        <f t="shared" si="27"/>
        <v>2</v>
      </c>
      <c r="O127" s="61">
        <f t="shared" si="28"/>
        <v>0.03254837936910707</v>
      </c>
      <c r="P127" s="59">
        <f>SUM(O127:$O$131)</f>
        <v>0.03254837936910707</v>
      </c>
      <c r="Q127" s="73">
        <f>SUM(P127:P$131)</f>
        <v>0.03254837936910707</v>
      </c>
      <c r="R127" s="61">
        <f t="shared" si="29"/>
        <v>0.03129651862414141</v>
      </c>
      <c r="S127" s="61">
        <f>SUM(R127:$R$131)</f>
        <v>0.03129651862414141</v>
      </c>
      <c r="T127" s="59">
        <f>SUM(S127:$S$131)</f>
        <v>0.03129651862414141</v>
      </c>
      <c r="U127" s="24"/>
      <c r="V127"/>
      <c r="W127"/>
      <c r="X127"/>
      <c r="Y127"/>
      <c r="Z127"/>
      <c r="AA127"/>
      <c r="AB127"/>
    </row>
    <row r="128" spans="1:28" ht="12.75">
      <c r="A128" s="57">
        <v>106</v>
      </c>
      <c r="B128" s="6">
        <v>0</v>
      </c>
      <c r="C128" s="55">
        <v>0</v>
      </c>
      <c r="D128" s="39">
        <v>0.42</v>
      </c>
      <c r="E128" s="38">
        <f t="shared" si="21"/>
        <v>0.7100000000000042</v>
      </c>
      <c r="F128" s="7">
        <v>1</v>
      </c>
      <c r="G128" s="40">
        <f t="shared" si="22"/>
        <v>1</v>
      </c>
      <c r="H128" s="6">
        <v>0</v>
      </c>
      <c r="I128" s="37">
        <f t="shared" si="23"/>
        <v>0</v>
      </c>
      <c r="J128" s="37">
        <v>3</v>
      </c>
      <c r="K128" s="45">
        <f t="shared" si="25"/>
        <v>5</v>
      </c>
      <c r="L128" s="57">
        <v>106</v>
      </c>
      <c r="M128" s="44">
        <f t="shared" si="26"/>
        <v>0</v>
      </c>
      <c r="N128" s="44">
        <f t="shared" si="27"/>
        <v>0</v>
      </c>
      <c r="O128" s="61">
        <f t="shared" si="28"/>
        <v>0</v>
      </c>
      <c r="P128" s="59">
        <f>SUM(O128:$O$131)</f>
        <v>0</v>
      </c>
      <c r="Q128" s="73">
        <f>SUM(P128:P$131)</f>
        <v>0</v>
      </c>
      <c r="R128" s="61">
        <f t="shared" si="29"/>
        <v>0</v>
      </c>
      <c r="S128" s="61">
        <f>SUM(R128:$R$131)</f>
        <v>0</v>
      </c>
      <c r="T128" s="59">
        <f>SUM(S128:$S$131)</f>
        <v>0</v>
      </c>
      <c r="U128" s="24"/>
      <c r="V128"/>
      <c r="W128"/>
      <c r="X128"/>
      <c r="Y128"/>
      <c r="Z128"/>
      <c r="AA128"/>
      <c r="AB128"/>
    </row>
    <row r="129" spans="1:28" ht="12.75">
      <c r="A129" s="57">
        <v>107</v>
      </c>
      <c r="B129" s="6">
        <v>0</v>
      </c>
      <c r="C129" s="55">
        <v>0</v>
      </c>
      <c r="D129" s="39">
        <f>E129</f>
        <v>0.2900000000000042</v>
      </c>
      <c r="E129" s="38">
        <f>E128-D128</f>
        <v>0.2900000000000042</v>
      </c>
      <c r="F129" s="7">
        <v>0</v>
      </c>
      <c r="G129" s="40">
        <f>G128-F128</f>
        <v>0</v>
      </c>
      <c r="H129" s="6">
        <v>0</v>
      </c>
      <c r="I129" s="37">
        <f>I128-H128</f>
        <v>0</v>
      </c>
      <c r="J129" s="37">
        <v>1</v>
      </c>
      <c r="K129" s="45">
        <f t="shared" si="25"/>
        <v>2</v>
      </c>
      <c r="L129" s="57">
        <v>107</v>
      </c>
      <c r="M129" s="44">
        <f t="shared" si="26"/>
        <v>0</v>
      </c>
      <c r="N129" s="44">
        <f t="shared" si="27"/>
        <v>0</v>
      </c>
      <c r="O129" s="61">
        <f t="shared" si="28"/>
        <v>0</v>
      </c>
      <c r="P129" s="59">
        <f>SUM(O129:$O$131)</f>
        <v>0</v>
      </c>
      <c r="Q129" s="73">
        <f>SUM(P129:P$131)</f>
        <v>0</v>
      </c>
      <c r="R129" s="61">
        <f t="shared" si="29"/>
        <v>0</v>
      </c>
      <c r="S129" s="61">
        <f>SUM(R129:$R$131)</f>
        <v>0</v>
      </c>
      <c r="T129" s="59">
        <f>SUM(S129:$S$131)</f>
        <v>0</v>
      </c>
      <c r="U129" s="24"/>
      <c r="V129"/>
      <c r="W129"/>
      <c r="X129"/>
      <c r="Y129"/>
      <c r="Z129"/>
      <c r="AA129"/>
      <c r="AB129"/>
    </row>
    <row r="130" spans="1:28" ht="12.75">
      <c r="A130" s="57">
        <v>108</v>
      </c>
      <c r="B130" s="6">
        <v>0</v>
      </c>
      <c r="C130" s="55">
        <v>0</v>
      </c>
      <c r="D130" s="39">
        <v>0</v>
      </c>
      <c r="E130" s="38">
        <f>E129-D129</f>
        <v>0</v>
      </c>
      <c r="F130" s="7">
        <v>0</v>
      </c>
      <c r="G130" s="40">
        <f>G129-F129</f>
        <v>0</v>
      </c>
      <c r="H130" s="6">
        <v>0</v>
      </c>
      <c r="I130" s="37">
        <f>I129-H129</f>
        <v>0</v>
      </c>
      <c r="J130" s="37">
        <v>1</v>
      </c>
      <c r="K130" s="45">
        <f>K129-J129</f>
        <v>1</v>
      </c>
      <c r="L130" s="57">
        <v>108</v>
      </c>
      <c r="M130" s="44">
        <f t="shared" si="26"/>
        <v>0</v>
      </c>
      <c r="N130" s="44">
        <f t="shared" si="27"/>
        <v>0</v>
      </c>
      <c r="O130" s="61">
        <f t="shared" si="28"/>
        <v>0</v>
      </c>
      <c r="P130" s="59">
        <f>SUM(O130:$O$131)</f>
        <v>0</v>
      </c>
      <c r="Q130" s="73">
        <f>SUM(P130:P$131)</f>
        <v>0</v>
      </c>
      <c r="R130" s="61">
        <f t="shared" si="29"/>
        <v>0</v>
      </c>
      <c r="S130" s="61">
        <f>SUM(R130:$R$131)</f>
        <v>0</v>
      </c>
      <c r="T130" s="59">
        <f>SUM(S130:$S$131)</f>
        <v>0</v>
      </c>
      <c r="U130" s="24"/>
      <c r="V130"/>
      <c r="W130"/>
      <c r="X130"/>
      <c r="Y130"/>
      <c r="Z130"/>
      <c r="AA130"/>
      <c r="AB130"/>
    </row>
    <row r="131" spans="1:28" ht="12.75">
      <c r="A131" s="57">
        <v>109</v>
      </c>
      <c r="B131" s="6">
        <v>0</v>
      </c>
      <c r="C131" s="55">
        <v>0</v>
      </c>
      <c r="D131" s="39">
        <v>0</v>
      </c>
      <c r="E131" s="38">
        <f>E130-D130</f>
        <v>0</v>
      </c>
      <c r="F131" s="7">
        <v>0</v>
      </c>
      <c r="G131" s="40">
        <f>G130-F130</f>
        <v>0</v>
      </c>
      <c r="H131" s="6">
        <v>0</v>
      </c>
      <c r="I131" s="37">
        <f>I130-H130</f>
        <v>0</v>
      </c>
      <c r="J131" s="37">
        <v>0</v>
      </c>
      <c r="K131" s="45">
        <f>K130-J130</f>
        <v>0</v>
      </c>
      <c r="L131" s="57">
        <v>109</v>
      </c>
      <c r="M131" s="44">
        <f t="shared" si="26"/>
        <v>0</v>
      </c>
      <c r="N131" s="44">
        <f t="shared" si="27"/>
        <v>0</v>
      </c>
      <c r="O131" s="61">
        <f t="shared" si="28"/>
        <v>0</v>
      </c>
      <c r="P131" s="59">
        <f>SUM(O131:$O$131)</f>
        <v>0</v>
      </c>
      <c r="Q131" s="73">
        <f>SUM(P131:P$131)</f>
        <v>0</v>
      </c>
      <c r="R131" s="61">
        <f t="shared" si="29"/>
        <v>0</v>
      </c>
      <c r="S131" s="61">
        <f>SUM(R131:$R$131)</f>
        <v>0</v>
      </c>
      <c r="T131" s="59">
        <f>SUM(S131:$S$131)</f>
        <v>0</v>
      </c>
      <c r="U131" s="24"/>
      <c r="V131"/>
      <c r="W131"/>
      <c r="X131"/>
      <c r="Y131"/>
      <c r="Z131"/>
      <c r="AA131"/>
      <c r="AB131"/>
    </row>
    <row r="132" spans="7:28" ht="12.75">
      <c r="G132" s="6" t="s">
        <v>34</v>
      </c>
      <c r="V132"/>
      <c r="W132"/>
      <c r="X132"/>
      <c r="Y132"/>
      <c r="Z132"/>
      <c r="AA132"/>
      <c r="AB132"/>
    </row>
    <row r="133" spans="7:28" ht="12.75">
      <c r="G133" s="6" t="s">
        <v>34</v>
      </c>
      <c r="V133"/>
      <c r="W133"/>
      <c r="X133"/>
      <c r="Y133"/>
      <c r="Z133"/>
      <c r="AA133"/>
      <c r="AB133"/>
    </row>
    <row r="134" spans="7:28" ht="12.75">
      <c r="G134" s="6" t="s">
        <v>34</v>
      </c>
      <c r="V134"/>
      <c r="W134"/>
      <c r="X134"/>
      <c r="Y134"/>
      <c r="Z134"/>
      <c r="AA134"/>
      <c r="AB134"/>
    </row>
    <row r="135" spans="7:28" ht="12.75">
      <c r="G135" s="6" t="s">
        <v>34</v>
      </c>
      <c r="V135"/>
      <c r="W135"/>
      <c r="X135"/>
      <c r="Y135"/>
      <c r="Z135"/>
      <c r="AA135"/>
      <c r="AB135"/>
    </row>
    <row r="136" spans="7:28" ht="12.75">
      <c r="G136" s="6" t="s">
        <v>34</v>
      </c>
      <c r="V136"/>
      <c r="W136"/>
      <c r="X136"/>
      <c r="Y136"/>
      <c r="Z136"/>
      <c r="AA136"/>
      <c r="AB136"/>
    </row>
    <row r="137" spans="22:28" ht="12.75">
      <c r="V137"/>
      <c r="W137"/>
      <c r="X137"/>
      <c r="Y137"/>
      <c r="Z137"/>
      <c r="AA137"/>
      <c r="AB137"/>
    </row>
    <row r="138" spans="22:28" ht="12.75">
      <c r="V138"/>
      <c r="W138"/>
      <c r="X138"/>
      <c r="Y138"/>
      <c r="Z138"/>
      <c r="AA138"/>
      <c r="AB138"/>
    </row>
    <row r="139" spans="22:28" ht="12.75">
      <c r="V139"/>
      <c r="W139"/>
      <c r="X139"/>
      <c r="Y139"/>
      <c r="Z139"/>
      <c r="AA139"/>
      <c r="AB139"/>
    </row>
    <row r="140" spans="22:28" ht="12.75">
      <c r="V140"/>
      <c r="W140"/>
      <c r="X140"/>
      <c r="Y140"/>
      <c r="Z140"/>
      <c r="AA140"/>
      <c r="AB140"/>
    </row>
    <row r="141" spans="22:28" ht="12.75">
      <c r="V141"/>
      <c r="W141"/>
      <c r="X141"/>
      <c r="Y141"/>
      <c r="Z141"/>
      <c r="AA141"/>
      <c r="AB141"/>
    </row>
    <row r="142" spans="22:28" ht="12.75">
      <c r="V142"/>
      <c r="W142"/>
      <c r="X142"/>
      <c r="Y142"/>
      <c r="Z142"/>
      <c r="AA142"/>
      <c r="AB142"/>
    </row>
    <row r="143" spans="22:28" ht="12.75">
      <c r="V143"/>
      <c r="W143"/>
      <c r="X143"/>
      <c r="Y143"/>
      <c r="Z143"/>
      <c r="AA143"/>
      <c r="AB143"/>
    </row>
    <row r="144" spans="22:28" ht="12.75">
      <c r="V144"/>
      <c r="W144"/>
      <c r="X144"/>
      <c r="Y144"/>
      <c r="Z144"/>
      <c r="AA144"/>
      <c r="AB144"/>
    </row>
    <row r="145" spans="22:28" ht="12.75">
      <c r="V145"/>
      <c r="W145"/>
      <c r="X145"/>
      <c r="Y145"/>
      <c r="Z145"/>
      <c r="AA145"/>
      <c r="AB145"/>
    </row>
  </sheetData>
  <mergeCells count="3">
    <mergeCell ref="B2:F2"/>
    <mergeCell ref="O20:Q20"/>
    <mergeCell ref="R20:T20"/>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K205"/>
  <sheetViews>
    <sheetView tabSelected="1" view="pageBreakPreview" zoomScale="150" zoomScaleNormal="75" zoomScaleSheetLayoutView="150" workbookViewId="0" topLeftCell="A40">
      <selection activeCell="C49" sqref="C49"/>
    </sheetView>
  </sheetViews>
  <sheetFormatPr defaultColWidth="9.140625" defaultRowHeight="12.75"/>
  <cols>
    <col min="1" max="1" width="13.28125" style="4" customWidth="1"/>
    <col min="2" max="2" width="18.57421875" style="4" bestFit="1" customWidth="1"/>
    <col min="3" max="3" width="16.28125" style="4" customWidth="1"/>
    <col min="4" max="4" width="16.57421875" style="4" customWidth="1"/>
    <col min="5" max="5" width="18.140625" style="4" bestFit="1" customWidth="1"/>
    <col min="6" max="6" width="17.00390625" style="4" bestFit="1" customWidth="1"/>
    <col min="7" max="7" width="15.28125" style="4" customWidth="1"/>
    <col min="8" max="11" width="15.57421875" style="4" bestFit="1" customWidth="1"/>
    <col min="12" max="16384" width="9.140625" style="4" customWidth="1"/>
  </cols>
  <sheetData>
    <row r="1" s="1" customFormat="1" ht="18">
      <c r="A1" s="1" t="s">
        <v>0</v>
      </c>
    </row>
    <row r="2" s="3" customFormat="1" ht="18">
      <c r="A2" s="2" t="s">
        <v>1</v>
      </c>
    </row>
    <row r="3" spans="1:9" s="3" customFormat="1" ht="150" customHeight="1">
      <c r="A3" s="140" t="s">
        <v>197</v>
      </c>
      <c r="B3" s="140"/>
      <c r="C3" s="140"/>
      <c r="D3" s="140"/>
      <c r="E3" s="140"/>
      <c r="F3" s="140"/>
      <c r="G3" s="140"/>
      <c r="H3" s="140"/>
      <c r="I3" s="140"/>
    </row>
    <row r="4" s="3" customFormat="1" ht="20.25" customHeight="1">
      <c r="A4" s="2" t="s">
        <v>2</v>
      </c>
    </row>
    <row r="5" s="3" customFormat="1" ht="20.25" customHeight="1">
      <c r="E5" s="131" t="s">
        <v>199</v>
      </c>
    </row>
    <row r="6" spans="1:2" s="3" customFormat="1" ht="18">
      <c r="A6" s="3" t="s">
        <v>196</v>
      </c>
      <c r="B6" s="111">
        <v>100000</v>
      </c>
    </row>
    <row r="7" spans="1:2" s="63" customFormat="1" ht="15">
      <c r="A7" s="63" t="s">
        <v>195</v>
      </c>
      <c r="B7" s="111">
        <v>60653</v>
      </c>
    </row>
    <row r="8" spans="1:6" s="63" customFormat="1" ht="15.75">
      <c r="A8" s="88" t="s">
        <v>128</v>
      </c>
      <c r="B8" s="143">
        <f>-LN(B7/B6)/(45-20)</f>
        <v>0.02000004350731371</v>
      </c>
      <c r="C8" s="90"/>
      <c r="D8" s="90"/>
      <c r="E8" s="90"/>
      <c r="F8" s="90"/>
    </row>
    <row r="9" spans="1:6" s="63" customFormat="1" ht="15.75">
      <c r="A9" s="112" t="s">
        <v>57</v>
      </c>
      <c r="B9" s="112" t="s">
        <v>32</v>
      </c>
      <c r="C9" s="90"/>
      <c r="D9" s="90" t="s">
        <v>131</v>
      </c>
      <c r="E9" s="141">
        <f>B21/B20</f>
        <v>0.980198630660945</v>
      </c>
      <c r="F9" s="141"/>
    </row>
    <row r="10" spans="1:6" s="63" customFormat="1" ht="15.75">
      <c r="A10" s="90">
        <v>30</v>
      </c>
      <c r="B10" s="91">
        <f aca="true" t="shared" si="0" ref="B10:B25">100000*EXP(-$B$8*(A10-20))</f>
        <v>81873.0396870302</v>
      </c>
      <c r="C10" s="91">
        <f>$B$6*EXP(-$B$8*(A10-20))</f>
        <v>81873.0396870302</v>
      </c>
      <c r="D10" s="90" t="s">
        <v>132</v>
      </c>
      <c r="E10" s="141">
        <f>1-E9</f>
        <v>0.019801369339054964</v>
      </c>
      <c r="F10" s="141">
        <f>(B20-B21)/B20</f>
        <v>0.019801369339054947</v>
      </c>
    </row>
    <row r="11" spans="1:6" s="63" customFormat="1" ht="15.75">
      <c r="A11" s="90">
        <v>31</v>
      </c>
      <c r="B11" s="91">
        <f t="shared" si="0"/>
        <v>80251.84138927622</v>
      </c>
      <c r="C11" s="91">
        <f>$B$6*EXP(-$B$8*(A11-20))</f>
        <v>80251.84138927622</v>
      </c>
      <c r="D11" s="90" t="s">
        <v>133</v>
      </c>
      <c r="E11" s="141">
        <f>(B21-B22)/B20</f>
        <v>0.019409275111353395</v>
      </c>
      <c r="F11" s="141">
        <f>B21/B20*(B21-B22)/B21</f>
        <v>0.019409275111353395</v>
      </c>
    </row>
    <row r="12" spans="1:6" s="63" customFormat="1" ht="15.75">
      <c r="A12" s="90">
        <v>32</v>
      </c>
      <c r="B12" s="91">
        <f t="shared" si="0"/>
        <v>78662.74503778791</v>
      </c>
      <c r="C12" s="91">
        <f aca="true" t="shared" si="1" ref="C12:C25">$B$6*EXP(-$B$8*(A12-20))</f>
        <v>78662.74503778791</v>
      </c>
      <c r="D12" s="90"/>
      <c r="E12" s="142"/>
      <c r="F12" s="142"/>
    </row>
    <row r="13" spans="1:6" s="63" customFormat="1" ht="15">
      <c r="A13" s="90">
        <v>33</v>
      </c>
      <c r="B13" s="91">
        <f t="shared" si="0"/>
        <v>77105.11497007076</v>
      </c>
      <c r="C13" s="91">
        <f t="shared" si="1"/>
        <v>77105.11497007076</v>
      </c>
      <c r="D13" s="90"/>
      <c r="E13" s="89"/>
      <c r="F13" s="90"/>
    </row>
    <row r="14" spans="1:6" s="63" customFormat="1" ht="15">
      <c r="A14" s="90">
        <v>34</v>
      </c>
      <c r="B14" s="91">
        <f t="shared" si="0"/>
        <v>75578.3281106181</v>
      </c>
      <c r="C14" s="91">
        <f t="shared" si="1"/>
        <v>75578.3281106181</v>
      </c>
      <c r="D14" s="90"/>
      <c r="E14" s="90"/>
      <c r="F14" s="112" t="s">
        <v>207</v>
      </c>
    </row>
    <row r="15" spans="1:6" s="63" customFormat="1" ht="15">
      <c r="A15" s="90">
        <v>35</v>
      </c>
      <c r="B15" s="91">
        <f t="shared" si="0"/>
        <v>74081.77372167147</v>
      </c>
      <c r="C15" s="91">
        <f t="shared" si="1"/>
        <v>74081.77372167147</v>
      </c>
      <c r="D15" s="90" t="s">
        <v>134</v>
      </c>
      <c r="E15" s="109">
        <v>50000</v>
      </c>
      <c r="F15" s="144">
        <f>E15*(1+E17)^(-10)*B20/B10</f>
        <v>27655.2460027051</v>
      </c>
    </row>
    <row r="16" spans="1:6" s="63" customFormat="1" ht="15">
      <c r="A16" s="90">
        <v>36</v>
      </c>
      <c r="B16" s="91">
        <f t="shared" si="0"/>
        <v>72614.85315891636</v>
      </c>
      <c r="C16" s="91">
        <f t="shared" si="1"/>
        <v>72614.85315891636</v>
      </c>
      <c r="D16" s="90" t="s">
        <v>135</v>
      </c>
      <c r="E16" s="109">
        <v>100000</v>
      </c>
      <c r="F16" s="144">
        <f>+E16*(1+E17)^(-15)*B25/B10</f>
        <v>41134.97924568126</v>
      </c>
    </row>
    <row r="17" spans="1:6" s="63" customFormat="1" ht="15">
      <c r="A17" s="90">
        <v>37</v>
      </c>
      <c r="B17" s="91">
        <f t="shared" si="0"/>
        <v>71176.97963201541</v>
      </c>
      <c r="C17" s="91">
        <f t="shared" si="1"/>
        <v>71176.97963201541</v>
      </c>
      <c r="D17" s="90" t="s">
        <v>60</v>
      </c>
      <c r="E17" s="110">
        <v>0.04</v>
      </c>
      <c r="F17" s="90"/>
    </row>
    <row r="18" spans="1:6" s="63" customFormat="1" ht="17.25">
      <c r="A18" s="90">
        <v>38</v>
      </c>
      <c r="B18" s="91">
        <f t="shared" si="0"/>
        <v>69767.57796988348</v>
      </c>
      <c r="C18" s="91">
        <f t="shared" si="1"/>
        <v>69767.57796988348</v>
      </c>
      <c r="D18" s="90" t="s">
        <v>9</v>
      </c>
      <c r="E18" s="92">
        <f>E15*(1+E17)^(-10)*B20/B10+E16*(1+E17)^(-15)*B25/B10</f>
        <v>68790.22524838636</v>
      </c>
      <c r="F18" s="145">
        <f>SUM(F15:F16)</f>
        <v>68790.22524838636</v>
      </c>
    </row>
    <row r="19" spans="1:6" s="63" customFormat="1" ht="15">
      <c r="A19" s="90">
        <v>39</v>
      </c>
      <c r="B19" s="91">
        <f t="shared" si="0"/>
        <v>68386.0843906105</v>
      </c>
      <c r="C19" s="91">
        <f t="shared" si="1"/>
        <v>68386.0843906105</v>
      </c>
      <c r="D19" s="90"/>
      <c r="E19" s="90"/>
      <c r="F19" s="90"/>
    </row>
    <row r="20" spans="1:6" s="63" customFormat="1" ht="15">
      <c r="A20" s="90">
        <v>40</v>
      </c>
      <c r="B20" s="91">
        <f t="shared" si="0"/>
        <v>67031.94627594025</v>
      </c>
      <c r="C20" s="91">
        <f t="shared" si="1"/>
        <v>67031.94627594025</v>
      </c>
      <c r="D20" s="90"/>
      <c r="E20" s="90"/>
      <c r="F20" s="90"/>
    </row>
    <row r="21" spans="1:6" s="63" customFormat="1" ht="15">
      <c r="A21" s="90">
        <v>41</v>
      </c>
      <c r="B21" s="91">
        <f t="shared" si="0"/>
        <v>65704.62195021467</v>
      </c>
      <c r="C21" s="91">
        <f t="shared" si="1"/>
        <v>65704.62195021467</v>
      </c>
      <c r="D21" s="90"/>
      <c r="E21" s="90"/>
      <c r="F21" s="90"/>
    </row>
    <row r="22" spans="1:6" s="63" customFormat="1" ht="15">
      <c r="A22" s="90">
        <v>42</v>
      </c>
      <c r="B22" s="91">
        <f t="shared" si="0"/>
        <v>64403.580463695485</v>
      </c>
      <c r="C22" s="91">
        <f t="shared" si="1"/>
        <v>64403.580463695485</v>
      </c>
      <c r="D22" s="90"/>
      <c r="E22" s="90"/>
      <c r="F22" s="90"/>
    </row>
    <row r="23" spans="1:6" s="63" customFormat="1" ht="15">
      <c r="A23" s="90">
        <v>43</v>
      </c>
      <c r="B23" s="91">
        <f t="shared" si="0"/>
        <v>63128.30138017631</v>
      </c>
      <c r="C23" s="91">
        <f t="shared" si="1"/>
        <v>63128.30138017631</v>
      </c>
      <c r="D23" s="90"/>
      <c r="E23" s="90"/>
      <c r="F23" s="90"/>
    </row>
    <row r="24" spans="1:6" s="63" customFormat="1" ht="15">
      <c r="A24" s="90">
        <v>44</v>
      </c>
      <c r="B24" s="91">
        <f t="shared" si="0"/>
        <v>61878.274568800276</v>
      </c>
      <c r="C24" s="91">
        <f t="shared" si="1"/>
        <v>61878.274568800276</v>
      </c>
      <c r="D24" s="90"/>
      <c r="E24" s="90"/>
      <c r="F24" s="90"/>
    </row>
    <row r="25" spans="1:6" s="63" customFormat="1" ht="15">
      <c r="A25" s="90">
        <v>45</v>
      </c>
      <c r="B25" s="91">
        <f t="shared" si="0"/>
        <v>60653</v>
      </c>
      <c r="C25" s="91">
        <f t="shared" si="1"/>
        <v>60653</v>
      </c>
      <c r="D25" s="90"/>
      <c r="E25" s="90"/>
      <c r="F25" s="90"/>
    </row>
    <row r="26" s="63" customFormat="1" ht="15"/>
    <row r="27" s="63" customFormat="1" ht="15"/>
    <row r="28" s="1" customFormat="1" ht="18">
      <c r="A28" s="1" t="s">
        <v>3</v>
      </c>
    </row>
    <row r="29" s="3" customFormat="1" ht="18">
      <c r="A29" s="2" t="s">
        <v>1</v>
      </c>
    </row>
    <row r="30" spans="1:9" s="3" customFormat="1" ht="120.75" customHeight="1">
      <c r="A30" s="140" t="s">
        <v>198</v>
      </c>
      <c r="B30" s="140"/>
      <c r="C30" s="140"/>
      <c r="D30" s="140"/>
      <c r="E30" s="140"/>
      <c r="F30" s="140"/>
      <c r="G30" s="140"/>
      <c r="H30" s="140"/>
      <c r="I30" s="140"/>
    </row>
    <row r="31" s="3" customFormat="1" ht="20.25" customHeight="1"/>
    <row r="32" s="3" customFormat="1" ht="20.25" customHeight="1">
      <c r="E32" s="131" t="s">
        <v>199</v>
      </c>
    </row>
    <row r="33" s="3" customFormat="1" ht="18">
      <c r="A33" s="2" t="s">
        <v>2</v>
      </c>
    </row>
    <row r="34" s="63" customFormat="1" ht="15"/>
    <row r="35" spans="1:8" s="63" customFormat="1" ht="15">
      <c r="A35" s="63" t="s">
        <v>111</v>
      </c>
      <c r="B35" s="113">
        <v>20000</v>
      </c>
      <c r="G35" s="63" t="s">
        <v>136</v>
      </c>
      <c r="H35" s="63" t="s">
        <v>137</v>
      </c>
    </row>
    <row r="36" spans="1:9" s="63" customFormat="1" ht="15">
      <c r="A36" s="63" t="s">
        <v>60</v>
      </c>
      <c r="B36" s="114">
        <v>0.04</v>
      </c>
      <c r="F36" s="63" t="s">
        <v>57</v>
      </c>
      <c r="G36" s="63" t="s">
        <v>32</v>
      </c>
      <c r="H36" s="63" t="s">
        <v>138</v>
      </c>
      <c r="I36" s="63" t="s">
        <v>139</v>
      </c>
    </row>
    <row r="37" spans="1:9" s="63" customFormat="1" ht="15">
      <c r="A37" s="66"/>
      <c r="B37" s="66"/>
      <c r="C37" s="66"/>
      <c r="D37" s="66"/>
      <c r="F37" s="63">
        <v>50</v>
      </c>
      <c r="G37" s="114">
        <v>91822</v>
      </c>
      <c r="H37" s="127">
        <v>12920.513765128708</v>
      </c>
      <c r="I37" s="130">
        <v>200143.2068267842</v>
      </c>
    </row>
    <row r="38" spans="1:9" s="63" customFormat="1" ht="15">
      <c r="A38" s="66"/>
      <c r="B38" s="67">
        <v>0</v>
      </c>
      <c r="C38" s="63">
        <v>0</v>
      </c>
      <c r="D38" s="93" t="s">
        <v>140</v>
      </c>
      <c r="E38" s="66">
        <f>(G37-G42)/G37</f>
        <v>0.040088431966195465</v>
      </c>
      <c r="F38" s="63">
        <v>51</v>
      </c>
      <c r="G38" s="114">
        <v>91232</v>
      </c>
      <c r="I38" s="79"/>
    </row>
    <row r="39" spans="1:9" s="63" customFormat="1" ht="15">
      <c r="A39" s="66"/>
      <c r="B39" s="67"/>
      <c r="D39" s="93"/>
      <c r="E39" s="66"/>
      <c r="F39" s="63">
        <v>52</v>
      </c>
      <c r="G39" s="114">
        <v>90574</v>
      </c>
      <c r="I39" s="79"/>
    </row>
    <row r="40" spans="1:9" s="63" customFormat="1" ht="15">
      <c r="A40" s="66"/>
      <c r="B40" s="67">
        <f>20000*(1+B36)^(-5)</f>
        <v>16438.54213518703</v>
      </c>
      <c r="C40" s="146">
        <f>+B35*(1+B36)^-5</f>
        <v>16438.54213518703</v>
      </c>
      <c r="D40" s="93" t="s">
        <v>141</v>
      </c>
      <c r="E40" s="66">
        <f>(G42-G43)/G37</f>
        <v>0.010629260961425366</v>
      </c>
      <c r="F40" s="63">
        <v>53</v>
      </c>
      <c r="G40" s="114">
        <v>89841</v>
      </c>
      <c r="I40" s="79"/>
    </row>
    <row r="41" spans="1:9" s="63" customFormat="1" ht="15">
      <c r="A41" s="66" t="s">
        <v>201</v>
      </c>
      <c r="B41" s="67"/>
      <c r="D41" s="93"/>
      <c r="E41" s="66"/>
      <c r="F41" s="63">
        <v>54</v>
      </c>
      <c r="G41" s="114">
        <v>89032</v>
      </c>
      <c r="I41" s="79"/>
    </row>
    <row r="42" spans="1:9" s="63" customFormat="1" ht="15">
      <c r="A42" s="66"/>
      <c r="B42" s="67">
        <f>20000*(1+B36)^(-5)+20000*(1+B36)^(-6)</f>
        <v>32244.832649789947</v>
      </c>
      <c r="C42" s="70">
        <f>+C40+B35*(1+B36)^-6</f>
        <v>32244.832649789947</v>
      </c>
      <c r="D42" s="93" t="s">
        <v>200</v>
      </c>
      <c r="E42" s="66">
        <f>(G43-G44)/G37</f>
        <v>0.011652980767136415</v>
      </c>
      <c r="F42" s="63">
        <v>55</v>
      </c>
      <c r="G42" s="114">
        <v>88141</v>
      </c>
      <c r="I42" s="130">
        <v>141148.16518395947</v>
      </c>
    </row>
    <row r="43" spans="1:9" s="63" customFormat="1" ht="15">
      <c r="A43" s="66"/>
      <c r="B43" s="67"/>
      <c r="D43" s="93"/>
      <c r="E43" s="66"/>
      <c r="F43" s="63">
        <v>56</v>
      </c>
      <c r="G43" s="114">
        <v>87165</v>
      </c>
      <c r="I43" s="79"/>
    </row>
    <row r="44" spans="1:9" s="63" customFormat="1" ht="15">
      <c r="A44" s="66"/>
      <c r="B44" s="67">
        <f>20000*(1+B36)^(-5)+20000*(1+B36)^(-6)+20000*(1+B36)^(-7)</f>
        <v>47443.18891383121</v>
      </c>
      <c r="C44" s="146">
        <f>+C42+B35*(1+B36)^-7</f>
        <v>47443.18891383121</v>
      </c>
      <c r="D44" s="93" t="s">
        <v>142</v>
      </c>
      <c r="E44" s="66">
        <f>G44/G37</f>
        <v>0.9376293263052428</v>
      </c>
      <c r="F44" s="63">
        <v>57</v>
      </c>
      <c r="G44" s="114">
        <v>86095</v>
      </c>
      <c r="I44" s="79"/>
    </row>
    <row r="45" spans="1:9" s="63" customFormat="1" ht="15">
      <c r="A45" s="66"/>
      <c r="B45" s="66"/>
      <c r="C45" s="66"/>
      <c r="D45" s="66"/>
      <c r="F45" s="100"/>
      <c r="G45" s="100"/>
      <c r="I45" s="130">
        <v>112054.65463827684</v>
      </c>
    </row>
    <row r="46" spans="2:4" s="63" customFormat="1" ht="15.75" thickBot="1">
      <c r="B46" s="132" t="s">
        <v>202</v>
      </c>
      <c r="C46" s="63" t="s">
        <v>203</v>
      </c>
      <c r="D46" s="63" t="s">
        <v>206</v>
      </c>
    </row>
    <row r="47" spans="1:4" s="63" customFormat="1" ht="17.25">
      <c r="A47" s="116" t="s">
        <v>129</v>
      </c>
      <c r="B47" s="117">
        <f>B38*E38+B40*E40+B42*E42+B44*E44</f>
        <v>45034.603227935746</v>
      </c>
      <c r="C47" s="118">
        <f>B35*(1+B36)^(-5)*G42/G37+B35*(1+B36)^(-6)*G43/G37+B35*(1+B36)^(-7)*G44/G37</f>
        <v>45034.603227935746</v>
      </c>
      <c r="D47" s="119">
        <f>(I42-I45)/H37*B35</f>
        <v>45034.603227935666</v>
      </c>
    </row>
    <row r="48" spans="1:4" s="63" customFormat="1" ht="19.5">
      <c r="A48" s="120" t="s">
        <v>204</v>
      </c>
      <c r="B48" s="121">
        <f>(I37-I42)/H37</f>
        <v>4.565998126332019</v>
      </c>
      <c r="C48" s="121"/>
      <c r="D48" s="122"/>
    </row>
    <row r="49" spans="1:4" s="63" customFormat="1" ht="18" thickBot="1">
      <c r="A49" s="123" t="s">
        <v>7</v>
      </c>
      <c r="B49" s="124">
        <f>B47/B48</f>
        <v>9863.035853699128</v>
      </c>
      <c r="C49" s="125"/>
      <c r="D49" s="126"/>
    </row>
    <row r="50" s="63" customFormat="1" ht="15"/>
    <row r="51" s="63" customFormat="1" ht="15"/>
    <row r="52" s="1" customFormat="1" ht="18">
      <c r="A52" s="1" t="s">
        <v>4</v>
      </c>
    </row>
    <row r="53" s="3" customFormat="1" ht="18">
      <c r="A53" s="2" t="s">
        <v>1</v>
      </c>
    </row>
    <row r="54" spans="1:9" s="3" customFormat="1" ht="120" customHeight="1">
      <c r="A54" s="140" t="s">
        <v>205</v>
      </c>
      <c r="B54" s="140"/>
      <c r="C54" s="140"/>
      <c r="D54" s="140"/>
      <c r="E54" s="140"/>
      <c r="F54" s="140"/>
      <c r="G54" s="140"/>
      <c r="H54" s="140"/>
      <c r="I54" s="140"/>
    </row>
    <row r="55" s="3" customFormat="1" ht="20.25" customHeight="1"/>
    <row r="56" s="3" customFormat="1" ht="20.25" customHeight="1"/>
    <row r="57" s="3" customFormat="1" ht="18">
      <c r="A57" s="2" t="s">
        <v>2</v>
      </c>
    </row>
    <row r="58" s="63" customFormat="1" ht="15"/>
    <row r="59" spans="1:2" s="63" customFormat="1" ht="15">
      <c r="A59" s="63" t="s">
        <v>57</v>
      </c>
      <c r="B59" s="63">
        <v>34</v>
      </c>
    </row>
    <row r="60" spans="1:6" s="63" customFormat="1" ht="15">
      <c r="A60" s="63" t="s">
        <v>58</v>
      </c>
      <c r="B60" s="63">
        <v>30</v>
      </c>
      <c r="E60" s="63" t="s">
        <v>10</v>
      </c>
      <c r="F60" s="63" t="s">
        <v>59</v>
      </c>
    </row>
    <row r="61" spans="1:6" s="63" customFormat="1" ht="15">
      <c r="A61" s="63" t="s">
        <v>60</v>
      </c>
      <c r="B61" s="63">
        <v>0.04</v>
      </c>
      <c r="D61" s="63" t="s">
        <v>57</v>
      </c>
      <c r="E61" s="77">
        <v>25318.395035323407</v>
      </c>
      <c r="F61" s="79">
        <v>503093.4427886119</v>
      </c>
    </row>
    <row r="62" spans="1:6" s="63" customFormat="1" ht="15">
      <c r="A62" s="63" t="s">
        <v>7</v>
      </c>
      <c r="B62" s="64">
        <v>3000</v>
      </c>
      <c r="D62" s="63" t="s">
        <v>71</v>
      </c>
      <c r="E62" s="77">
        <v>16790.30478594722</v>
      </c>
      <c r="F62" s="79">
        <v>290852.5865975668</v>
      </c>
    </row>
    <row r="63" spans="1:6" s="63" customFormat="1" ht="15">
      <c r="A63" s="63" t="s">
        <v>72</v>
      </c>
      <c r="B63" s="63">
        <v>10</v>
      </c>
      <c r="D63" s="63" t="s">
        <v>19</v>
      </c>
      <c r="E63" s="77">
        <v>6177.0728632417695</v>
      </c>
      <c r="F63" s="79">
        <v>66280.27459288303</v>
      </c>
    </row>
    <row r="64" spans="1:6" s="63" customFormat="1" ht="15">
      <c r="A64" s="63" t="s">
        <v>73</v>
      </c>
      <c r="B64" s="63">
        <v>40</v>
      </c>
      <c r="D64" s="63" t="s">
        <v>74</v>
      </c>
      <c r="E64" s="77">
        <v>5797.057188482473</v>
      </c>
      <c r="F64" s="79">
        <v>60103.20172964126</v>
      </c>
    </row>
    <row r="65" spans="1:6" s="63" customFormat="1" ht="15">
      <c r="A65" s="63" t="s">
        <v>61</v>
      </c>
      <c r="B65" s="65">
        <f>(F61-F63)/E61</f>
        <v>17.252798512160872</v>
      </c>
      <c r="D65" s="63" t="s">
        <v>75</v>
      </c>
      <c r="E65" s="77">
        <v>2826.873587008156</v>
      </c>
      <c r="F65" s="79">
        <v>20399.471406714754</v>
      </c>
    </row>
    <row r="66" spans="1:6" s="63" customFormat="1" ht="15">
      <c r="A66" s="66" t="s">
        <v>62</v>
      </c>
      <c r="B66" s="67">
        <f>B62*((F61-F63)/F64)</f>
        <v>21803.156352333117</v>
      </c>
      <c r="D66" s="63" t="s">
        <v>77</v>
      </c>
      <c r="E66" s="77">
        <v>2547.339735666804</v>
      </c>
      <c r="F66" s="79">
        <v>17572.597819706603</v>
      </c>
    </row>
    <row r="67" spans="1:2" s="63" customFormat="1" ht="15">
      <c r="A67" s="63" t="s">
        <v>64</v>
      </c>
      <c r="B67" s="68">
        <f>B66*(F64/E62)</f>
        <v>78047.39230725398</v>
      </c>
    </row>
    <row r="68" spans="1:6" s="63" customFormat="1" ht="15">
      <c r="A68" s="63" t="s">
        <v>66</v>
      </c>
      <c r="B68" s="68">
        <f>B62*((F62-F63)/E62)</f>
        <v>40125.35475698595</v>
      </c>
      <c r="F68" s="63" t="s">
        <v>63</v>
      </c>
    </row>
    <row r="69" spans="1:7" s="63" customFormat="1" ht="15">
      <c r="A69" s="66" t="s">
        <v>68</v>
      </c>
      <c r="B69" s="69">
        <f>B67-B68</f>
        <v>37922.037550268025</v>
      </c>
      <c r="D69" s="64"/>
      <c r="F69" s="63" t="s">
        <v>65</v>
      </c>
      <c r="G69" s="68">
        <f>B66*(F64/E61)</f>
        <v>51758.39553648261</v>
      </c>
    </row>
    <row r="70" spans="1:7" s="63" customFormat="1" ht="15">
      <c r="A70" s="63" t="s">
        <v>76</v>
      </c>
      <c r="B70" s="68">
        <f>B66*(F66/E65)</f>
        <v>135534.2168608354</v>
      </c>
      <c r="F70" s="63" t="s">
        <v>67</v>
      </c>
      <c r="G70" s="68">
        <f>B62*((F61-F63)/E61)</f>
        <v>51758.39553648262</v>
      </c>
    </row>
    <row r="71" spans="1:7" s="63" customFormat="1" ht="15">
      <c r="A71" s="66" t="s">
        <v>70</v>
      </c>
      <c r="B71" s="69">
        <f>B70</f>
        <v>135534.2168608354</v>
      </c>
      <c r="F71" s="63" t="s">
        <v>69</v>
      </c>
      <c r="G71" s="70">
        <f>G69-G70</f>
        <v>0</v>
      </c>
    </row>
    <row r="72" s="63" customFormat="1" ht="15"/>
    <row r="73" s="63" customFormat="1" ht="15"/>
    <row r="74" s="1" customFormat="1" ht="18">
      <c r="A74" s="1" t="s">
        <v>5</v>
      </c>
    </row>
    <row r="75" s="3" customFormat="1" ht="18">
      <c r="A75" s="2" t="s">
        <v>1</v>
      </c>
    </row>
    <row r="76" spans="1:9" s="3" customFormat="1" ht="180" customHeight="1">
      <c r="A76" s="140" t="s">
        <v>116</v>
      </c>
      <c r="B76" s="140"/>
      <c r="C76" s="140"/>
      <c r="D76" s="140"/>
      <c r="E76" s="140"/>
      <c r="F76" s="140"/>
      <c r="G76" s="140"/>
      <c r="H76" s="140"/>
      <c r="I76" s="140"/>
    </row>
    <row r="77" s="3" customFormat="1" ht="20.25" customHeight="1"/>
    <row r="78" s="3" customFormat="1" ht="20.25" customHeight="1"/>
    <row r="79" s="3" customFormat="1" ht="18">
      <c r="A79" s="2" t="s">
        <v>2</v>
      </c>
    </row>
    <row r="80" s="63" customFormat="1" ht="15"/>
    <row r="81" spans="1:2" s="63" customFormat="1" ht="15">
      <c r="A81" s="63" t="s">
        <v>57</v>
      </c>
      <c r="B81" s="63">
        <v>36</v>
      </c>
    </row>
    <row r="82" spans="1:7" s="63" customFormat="1" ht="15">
      <c r="A82" s="63" t="s">
        <v>58</v>
      </c>
      <c r="B82" s="63">
        <v>25</v>
      </c>
      <c r="E82" s="63" t="s">
        <v>10</v>
      </c>
      <c r="F82" s="63" t="s">
        <v>59</v>
      </c>
      <c r="G82" s="63" t="s">
        <v>110</v>
      </c>
    </row>
    <row r="83" spans="1:7" s="63" customFormat="1" ht="15">
      <c r="A83" s="63" t="s">
        <v>60</v>
      </c>
      <c r="B83" s="63">
        <v>0.02</v>
      </c>
      <c r="D83" s="63" t="s">
        <v>57</v>
      </c>
      <c r="E83" s="77">
        <v>47176.134650998654</v>
      </c>
      <c r="F83" s="79">
        <v>1293327.2911231474</v>
      </c>
      <c r="G83" s="77">
        <v>21816.776001525188</v>
      </c>
    </row>
    <row r="84" spans="1:7" s="63" customFormat="1" ht="15">
      <c r="A84" s="63" t="s">
        <v>111</v>
      </c>
      <c r="B84" s="64">
        <v>250000</v>
      </c>
      <c r="D84" s="63" t="s">
        <v>18</v>
      </c>
      <c r="E84" s="77">
        <v>33724.89713554243</v>
      </c>
      <c r="F84" s="79">
        <v>682982.0397662792</v>
      </c>
      <c r="G84" s="77">
        <v>20333.09243424286</v>
      </c>
    </row>
    <row r="85" spans="1:7" s="63" customFormat="1" ht="15">
      <c r="A85" s="63" t="s">
        <v>8</v>
      </c>
      <c r="B85" s="63">
        <v>15</v>
      </c>
      <c r="D85" s="63" t="s">
        <v>19</v>
      </c>
      <c r="E85" s="77">
        <v>25377.904581015006</v>
      </c>
      <c r="F85" s="79">
        <v>382965.22014627774</v>
      </c>
      <c r="G85" s="77">
        <v>17868.782617362504</v>
      </c>
    </row>
    <row r="86" spans="2:7" s="63" customFormat="1" ht="15">
      <c r="B86" s="81"/>
      <c r="D86" s="63" t="s">
        <v>74</v>
      </c>
      <c r="E86" s="77">
        <v>24510.59924294882</v>
      </c>
      <c r="F86" s="79">
        <v>357587.3155652628</v>
      </c>
      <c r="G86" s="77">
        <v>17499.08325147309</v>
      </c>
    </row>
    <row r="87" s="63" customFormat="1" ht="15">
      <c r="B87" s="81"/>
    </row>
    <row r="88" s="63" customFormat="1" ht="15"/>
    <row r="89" spans="1:4" s="63" customFormat="1" ht="15">
      <c r="A89" s="66" t="s">
        <v>7</v>
      </c>
      <c r="B89" s="67">
        <f>B84*((E85+G83-G85)/(F83-F85))</f>
        <v>8053.361102168216</v>
      </c>
      <c r="D89" s="80" t="s">
        <v>112</v>
      </c>
    </row>
    <row r="90" spans="1:4" s="63" customFormat="1" ht="15">
      <c r="A90" s="63" t="s">
        <v>113</v>
      </c>
      <c r="B90" s="68">
        <f>B84*((E85+G84-G85)/E84)</f>
        <v>206392.13728359045</v>
      </c>
      <c r="C90" s="63" t="s">
        <v>65</v>
      </c>
      <c r="D90" s="83">
        <f>B84*((E85+G83-G85)/E83)</f>
        <v>155406.42626894882</v>
      </c>
    </row>
    <row r="91" spans="1:7" s="63" customFormat="1" ht="15">
      <c r="A91" s="63" t="s">
        <v>114</v>
      </c>
      <c r="B91" s="68">
        <f>B89*((F84-F85)/E84)</f>
        <v>71642.73253120114</v>
      </c>
      <c r="C91" s="63" t="s">
        <v>67</v>
      </c>
      <c r="D91" s="83">
        <f>B89*((F83-F85)/E83)</f>
        <v>155406.42626894882</v>
      </c>
      <c r="G91" s="64"/>
    </row>
    <row r="92" spans="1:7" s="63" customFormat="1" ht="15">
      <c r="A92" s="66" t="s">
        <v>115</v>
      </c>
      <c r="B92" s="69">
        <f>B90-B91</f>
        <v>134749.4047523893</v>
      </c>
      <c r="C92" s="63" t="s">
        <v>69</v>
      </c>
      <c r="D92" s="82">
        <f>D90-D91</f>
        <v>0</v>
      </c>
      <c r="G92" s="64"/>
    </row>
    <row r="93" spans="1:6" s="63" customFormat="1" ht="15">
      <c r="A93" s="66" t="s">
        <v>62</v>
      </c>
      <c r="B93" s="69">
        <f>B84/(F86/E85)</f>
        <v>17742.453015215604</v>
      </c>
      <c r="F93" s="66"/>
    </row>
    <row r="94" s="63" customFormat="1" ht="15"/>
    <row r="95" s="63" customFormat="1" ht="15"/>
    <row r="96" s="1" customFormat="1" ht="18">
      <c r="A96" s="1" t="s">
        <v>6</v>
      </c>
    </row>
    <row r="97" s="3" customFormat="1" ht="18">
      <c r="A97" s="2" t="s">
        <v>1</v>
      </c>
    </row>
    <row r="98" spans="1:9" s="3" customFormat="1" ht="180" customHeight="1">
      <c r="A98" s="140" t="s">
        <v>120</v>
      </c>
      <c r="B98" s="140"/>
      <c r="C98" s="140"/>
      <c r="D98" s="140"/>
      <c r="E98" s="140"/>
      <c r="F98" s="140"/>
      <c r="G98" s="140"/>
      <c r="H98" s="140"/>
      <c r="I98" s="140"/>
    </row>
    <row r="99" s="3" customFormat="1" ht="20.25" customHeight="1"/>
    <row r="100" s="3" customFormat="1" ht="20.25" customHeight="1"/>
    <row r="101" s="3" customFormat="1" ht="18">
      <c r="A101" s="2" t="s">
        <v>2</v>
      </c>
    </row>
    <row r="102" spans="5:6" s="63" customFormat="1" ht="15">
      <c r="E102" s="63" t="s">
        <v>10</v>
      </c>
      <c r="F102" s="63" t="s">
        <v>59</v>
      </c>
    </row>
    <row r="103" spans="1:6" s="63" customFormat="1" ht="15">
      <c r="A103" s="63" t="s">
        <v>57</v>
      </c>
      <c r="B103" s="63">
        <v>40</v>
      </c>
      <c r="D103" s="63" t="s">
        <v>57</v>
      </c>
      <c r="E103" s="87">
        <v>29191.568605844983</v>
      </c>
      <c r="F103" s="86">
        <v>614978.2924567914</v>
      </c>
    </row>
    <row r="104" spans="1:6" s="63" customFormat="1" ht="15">
      <c r="A104" s="63" t="s">
        <v>128</v>
      </c>
      <c r="B104" s="63">
        <v>15</v>
      </c>
      <c r="D104" s="63" t="s">
        <v>35</v>
      </c>
      <c r="E104" s="87">
        <v>28282.100771389316</v>
      </c>
      <c r="F104" s="86">
        <v>585786.7238509463</v>
      </c>
    </row>
    <row r="105" spans="1:6" s="63" customFormat="1" ht="15">
      <c r="A105" s="63" t="s">
        <v>60</v>
      </c>
      <c r="B105" s="63">
        <v>0.03</v>
      </c>
      <c r="D105" s="63" t="s">
        <v>121</v>
      </c>
      <c r="E105" s="87">
        <v>27395.357152646153</v>
      </c>
      <c r="F105" s="86">
        <v>557504.6230795571</v>
      </c>
    </row>
    <row r="106" spans="1:6" s="63" customFormat="1" ht="15">
      <c r="A106" s="63" t="s">
        <v>8</v>
      </c>
      <c r="B106" s="63">
        <v>10</v>
      </c>
      <c r="D106" s="63" t="s">
        <v>122</v>
      </c>
      <c r="E106" s="87">
        <v>26530.10382415424</v>
      </c>
      <c r="F106" s="86">
        <v>530109.2659269107</v>
      </c>
    </row>
    <row r="107" spans="1:6" s="63" customFormat="1" ht="15">
      <c r="A107" s="63" t="s">
        <v>62</v>
      </c>
      <c r="B107" s="64">
        <v>15000</v>
      </c>
      <c r="D107" s="63" t="s">
        <v>18</v>
      </c>
      <c r="E107" s="87">
        <v>20945.24828045479</v>
      </c>
      <c r="F107" s="86">
        <v>361575.2711594432</v>
      </c>
    </row>
    <row r="108" spans="1:6" s="63" customFormat="1" ht="15">
      <c r="A108" s="63" t="s">
        <v>130</v>
      </c>
      <c r="B108" s="63">
        <v>0.75</v>
      </c>
      <c r="D108" s="63" t="s">
        <v>123</v>
      </c>
      <c r="E108" s="87">
        <v>17343.255202087552</v>
      </c>
      <c r="F108" s="86">
        <v>264152.457348902</v>
      </c>
    </row>
    <row r="109" s="63" customFormat="1" ht="15"/>
    <row r="110" spans="1:2" s="63" customFormat="1" ht="15">
      <c r="A110" s="63" t="s">
        <v>129</v>
      </c>
      <c r="B110" s="70">
        <f>B107*(F108/E103)</f>
        <v>135733.94817297236</v>
      </c>
    </row>
    <row r="111" spans="1:2" s="63" customFormat="1" ht="17.25">
      <c r="A111" s="63" t="s">
        <v>124</v>
      </c>
      <c r="B111" s="84">
        <f>B110/(1+2*(E104/E103)+4*(E105/E103)+8*(E106/E103))</f>
        <v>9721.541827288362</v>
      </c>
    </row>
    <row r="112" spans="1:2" s="63" customFormat="1" ht="17.25">
      <c r="A112" s="63" t="s">
        <v>125</v>
      </c>
      <c r="B112" s="85">
        <f>B111*2</f>
        <v>19443.083654576723</v>
      </c>
    </row>
    <row r="113" spans="1:2" s="63" customFormat="1" ht="17.25">
      <c r="A113" s="63" t="s">
        <v>126</v>
      </c>
      <c r="B113" s="85">
        <f>B112*2</f>
        <v>38886.16730915345</v>
      </c>
    </row>
    <row r="114" spans="1:2" s="63" customFormat="1" ht="17.25">
      <c r="A114" s="63" t="s">
        <v>127</v>
      </c>
      <c r="B114" s="85">
        <f>B113*2</f>
        <v>77772.3346183069</v>
      </c>
    </row>
    <row r="115" s="63" customFormat="1" ht="15"/>
    <row r="116" spans="1:2" s="63" customFormat="1" ht="15">
      <c r="A116" s="63" t="s">
        <v>68</v>
      </c>
      <c r="B116" s="82">
        <f>B107*(F108/E107)</f>
        <v>189173.54462353003</v>
      </c>
    </row>
    <row r="117" spans="1:2" s="63" customFormat="1" ht="17.25">
      <c r="A117" s="63" t="s">
        <v>119</v>
      </c>
      <c r="B117" s="85">
        <f>B116*B108</f>
        <v>141880.15846764753</v>
      </c>
    </row>
    <row r="118" s="63" customFormat="1" ht="15"/>
    <row r="119" s="63" customFormat="1" ht="15"/>
    <row r="120" s="1" customFormat="1" ht="18">
      <c r="A120" s="1" t="s">
        <v>149</v>
      </c>
    </row>
    <row r="121" s="3" customFormat="1" ht="18">
      <c r="A121" s="2" t="s">
        <v>1</v>
      </c>
    </row>
    <row r="122" spans="1:9" s="3" customFormat="1" ht="140.25" customHeight="1">
      <c r="A122" s="140" t="s">
        <v>150</v>
      </c>
      <c r="B122" s="140"/>
      <c r="C122" s="140"/>
      <c r="D122" s="140"/>
      <c r="E122" s="140"/>
      <c r="F122" s="140"/>
      <c r="G122" s="140"/>
      <c r="H122" s="140"/>
      <c r="I122" s="140"/>
    </row>
    <row r="123" s="3" customFormat="1" ht="20.25" customHeight="1"/>
    <row r="124" s="3" customFormat="1" ht="20.25" customHeight="1"/>
    <row r="125" s="3" customFormat="1" ht="18">
      <c r="A125" s="2" t="s">
        <v>2</v>
      </c>
    </row>
    <row r="126" s="63" customFormat="1" ht="15"/>
    <row r="127" spans="1:2" s="63" customFormat="1" ht="15">
      <c r="A127" s="63" t="s">
        <v>111</v>
      </c>
      <c r="B127" s="96">
        <v>300000</v>
      </c>
    </row>
    <row r="128" spans="1:7" s="63" customFormat="1" ht="15">
      <c r="A128" s="63" t="s">
        <v>57</v>
      </c>
      <c r="B128" s="63">
        <v>45</v>
      </c>
      <c r="E128" s="63" t="s">
        <v>138</v>
      </c>
      <c r="F128" s="63" t="s">
        <v>139</v>
      </c>
      <c r="G128" s="63" t="s">
        <v>110</v>
      </c>
    </row>
    <row r="129" spans="1:7" s="63" customFormat="1" ht="15">
      <c r="A129" s="63" t="s">
        <v>60</v>
      </c>
      <c r="B129" s="81">
        <v>0.03</v>
      </c>
      <c r="D129" s="63">
        <v>40</v>
      </c>
      <c r="E129" s="77">
        <v>29191.568605844983</v>
      </c>
      <c r="F129" s="63">
        <v>614978.2924567914</v>
      </c>
      <c r="G129" s="77">
        <v>11279.579505161748</v>
      </c>
    </row>
    <row r="130" spans="1:7" s="63" customFormat="1" ht="15">
      <c r="A130" s="63" t="s">
        <v>72</v>
      </c>
      <c r="B130" s="63">
        <v>7</v>
      </c>
      <c r="D130" s="63">
        <v>45</v>
      </c>
      <c r="E130" s="77">
        <v>24858.02394973836</v>
      </c>
      <c r="F130" s="63">
        <v>477893.6858997829</v>
      </c>
      <c r="G130" s="77">
        <v>10938.790379841776</v>
      </c>
    </row>
    <row r="131" spans="1:7" s="63" customFormat="1" ht="15">
      <c r="A131" s="63" t="s">
        <v>73</v>
      </c>
      <c r="B131" s="63">
        <v>9</v>
      </c>
      <c r="D131" s="63">
        <v>52</v>
      </c>
      <c r="E131" s="77">
        <v>19474.56937023016</v>
      </c>
      <c r="F131" s="63">
        <v>320425.493652407</v>
      </c>
      <c r="G131" s="77">
        <v>10141.78800171346</v>
      </c>
    </row>
    <row r="132" spans="4:7" s="63" customFormat="1" ht="15">
      <c r="D132" s="63">
        <v>54</v>
      </c>
      <c r="E132" s="77">
        <v>18044.13199381476</v>
      </c>
      <c r="F132" s="63">
        <v>282196.5893427168</v>
      </c>
      <c r="G132" s="77">
        <v>9824.813857619129</v>
      </c>
    </row>
    <row r="133" s="63" customFormat="1" ht="15"/>
    <row r="134" s="63" customFormat="1" ht="15.75">
      <c r="D134" s="99"/>
    </row>
    <row r="135" spans="1:4" s="63" customFormat="1" ht="15">
      <c r="A135" s="66" t="s">
        <v>129</v>
      </c>
      <c r="B135" s="97">
        <f>B127*(G130/E130)</f>
        <v>132015.20445019417</v>
      </c>
      <c r="D135" s="98"/>
    </row>
    <row r="136" spans="1:2" s="63" customFormat="1" ht="15">
      <c r="A136" s="66" t="s">
        <v>151</v>
      </c>
      <c r="B136" s="97">
        <f>B127*(G131/E131)</f>
        <v>156231.25434367845</v>
      </c>
    </row>
    <row r="137" spans="1:2" s="63" customFormat="1" ht="17.25">
      <c r="A137" s="66" t="s">
        <v>152</v>
      </c>
      <c r="B137" s="92">
        <f>(B135-(B127*(G130-G132)/E130))/(E132/E130)</f>
        <v>163346.40858845832</v>
      </c>
    </row>
    <row r="138" spans="1:2" s="63" customFormat="1" ht="15">
      <c r="A138" s="66" t="s">
        <v>62</v>
      </c>
      <c r="B138" s="97">
        <f>B135/((F129-F130)/E129)</f>
        <v>28112.06155462736</v>
      </c>
    </row>
    <row r="139" s="63" customFormat="1" ht="15"/>
    <row r="140" s="63" customFormat="1" ht="15"/>
    <row r="141" s="1" customFormat="1" ht="18">
      <c r="A141" s="1" t="s">
        <v>153</v>
      </c>
    </row>
    <row r="142" s="3" customFormat="1" ht="18">
      <c r="A142" s="2" t="s">
        <v>1</v>
      </c>
    </row>
    <row r="143" spans="1:9" s="3" customFormat="1" ht="140.25" customHeight="1">
      <c r="A143" s="140" t="s">
        <v>160</v>
      </c>
      <c r="B143" s="140"/>
      <c r="C143" s="140"/>
      <c r="D143" s="140"/>
      <c r="E143" s="140"/>
      <c r="F143" s="140"/>
      <c r="G143" s="140"/>
      <c r="H143" s="140"/>
      <c r="I143" s="140"/>
    </row>
    <row r="144" s="3" customFormat="1" ht="20.25" customHeight="1"/>
    <row r="145" s="3" customFormat="1" ht="20.25" customHeight="1"/>
    <row r="146" s="3" customFormat="1" ht="18">
      <c r="A146" s="2" t="s">
        <v>2</v>
      </c>
    </row>
    <row r="147" s="63" customFormat="1" ht="15"/>
    <row r="148" spans="1:11" s="100" customFormat="1" ht="15">
      <c r="A148" s="63" t="s">
        <v>57</v>
      </c>
      <c r="B148" s="63">
        <v>35</v>
      </c>
      <c r="C148" s="63"/>
      <c r="D148" s="63"/>
      <c r="E148" s="63"/>
      <c r="F148" s="63"/>
      <c r="G148" s="63"/>
      <c r="H148" s="63"/>
      <c r="I148" s="63"/>
      <c r="J148" s="63"/>
      <c r="K148" s="63"/>
    </row>
    <row r="149" spans="1:11" s="100" customFormat="1" ht="15">
      <c r="A149" s="63" t="s">
        <v>58</v>
      </c>
      <c r="B149" s="63">
        <v>25</v>
      </c>
      <c r="C149" s="63"/>
      <c r="D149" s="63"/>
      <c r="E149" s="63" t="s">
        <v>138</v>
      </c>
      <c r="F149" s="63" t="s">
        <v>154</v>
      </c>
      <c r="G149" s="63"/>
      <c r="H149" s="63"/>
      <c r="I149" s="63"/>
      <c r="J149" s="63"/>
      <c r="K149" s="63"/>
    </row>
    <row r="150" spans="1:11" s="100" customFormat="1" ht="15">
      <c r="A150" s="63" t="s">
        <v>60</v>
      </c>
      <c r="B150" s="63">
        <v>0.04</v>
      </c>
      <c r="C150" s="63"/>
      <c r="D150" s="63">
        <v>35</v>
      </c>
      <c r="E150" s="63">
        <v>24316</v>
      </c>
      <c r="F150" s="63">
        <v>5940</v>
      </c>
      <c r="G150" s="63"/>
      <c r="H150" s="63"/>
      <c r="I150" s="63"/>
      <c r="J150" s="63"/>
      <c r="K150" s="63"/>
    </row>
    <row r="151" spans="1:11" s="100" customFormat="1" ht="15">
      <c r="A151" s="63" t="s">
        <v>111</v>
      </c>
      <c r="B151" s="64">
        <v>500000</v>
      </c>
      <c r="C151" s="63"/>
      <c r="D151" s="63">
        <v>40</v>
      </c>
      <c r="E151" s="63">
        <v>19834</v>
      </c>
      <c r="F151" s="63">
        <v>5777</v>
      </c>
      <c r="G151" s="63"/>
      <c r="H151" s="63"/>
      <c r="I151" s="63"/>
      <c r="J151" s="63"/>
      <c r="K151" s="63"/>
    </row>
    <row r="152" spans="1:11" s="100" customFormat="1" ht="15">
      <c r="A152" s="100" t="s">
        <v>161</v>
      </c>
      <c r="B152" s="100">
        <v>48</v>
      </c>
      <c r="C152" s="63"/>
      <c r="D152" s="63">
        <v>45</v>
      </c>
      <c r="E152" s="63">
        <v>16093</v>
      </c>
      <c r="F152" s="63">
        <v>5552</v>
      </c>
      <c r="G152" s="63"/>
      <c r="H152" s="63"/>
      <c r="I152" s="63"/>
      <c r="J152" s="63"/>
      <c r="K152" s="63"/>
    </row>
    <row r="153" spans="1:11" s="100" customFormat="1" ht="15">
      <c r="A153" s="63" t="s">
        <v>157</v>
      </c>
      <c r="B153" s="64">
        <v>750000</v>
      </c>
      <c r="C153" s="63"/>
      <c r="D153" s="63">
        <v>48</v>
      </c>
      <c r="E153" s="63">
        <v>14129</v>
      </c>
      <c r="F153" s="63">
        <v>5368</v>
      </c>
      <c r="G153" s="63"/>
      <c r="H153" s="63"/>
      <c r="I153" s="63"/>
      <c r="J153" s="63"/>
      <c r="K153" s="63"/>
    </row>
    <row r="154" spans="3:11" s="100" customFormat="1" ht="15">
      <c r="C154" s="63"/>
      <c r="D154" s="63">
        <v>60</v>
      </c>
      <c r="E154" s="63">
        <v>7828</v>
      </c>
      <c r="F154" s="63">
        <v>4172</v>
      </c>
      <c r="G154" s="63"/>
      <c r="H154" s="63"/>
      <c r="I154" s="63"/>
      <c r="J154" s="63"/>
      <c r="K154" s="63"/>
    </row>
    <row r="155" spans="1:11" s="100" customFormat="1" ht="15">
      <c r="A155" s="63" t="s">
        <v>129</v>
      </c>
      <c r="B155" s="68">
        <f>B151*((E154+F150)/E150)</f>
        <v>283105.7739759829</v>
      </c>
      <c r="C155" s="63"/>
      <c r="D155" s="63">
        <v>65</v>
      </c>
      <c r="E155" s="63">
        <v>5797</v>
      </c>
      <c r="F155" s="63">
        <v>3485</v>
      </c>
      <c r="G155" s="63"/>
      <c r="H155" s="63"/>
      <c r="I155" s="63"/>
      <c r="J155" s="63"/>
      <c r="K155" s="63"/>
    </row>
    <row r="156" spans="1:11" s="100" customFormat="1" ht="15">
      <c r="A156" s="66" t="s">
        <v>7</v>
      </c>
      <c r="B156" s="67">
        <f>B155/(1+(E151/E150)+(E152/E150))</f>
        <v>114270.53765582724</v>
      </c>
      <c r="C156" s="63"/>
      <c r="D156" s="63"/>
      <c r="E156" s="63"/>
      <c r="F156" s="63"/>
      <c r="G156" s="63"/>
      <c r="H156" s="63"/>
      <c r="I156" s="63"/>
      <c r="J156" s="63"/>
      <c r="K156" s="63"/>
    </row>
    <row r="157" s="63" customFormat="1" ht="15"/>
    <row r="158" spans="1:2" s="63" customFormat="1" ht="15">
      <c r="A158" s="63" t="s">
        <v>155</v>
      </c>
      <c r="B158" s="68">
        <f>B151*((E154+F153)/E153)</f>
        <v>466982.8013305967</v>
      </c>
    </row>
    <row r="159" spans="1:2" s="63" customFormat="1" ht="15">
      <c r="A159" s="66" t="s">
        <v>156</v>
      </c>
      <c r="B159" s="67">
        <f>B158/((E155+F153)/E153)</f>
        <v>590953.8737124944</v>
      </c>
    </row>
    <row r="160" s="63" customFormat="1" ht="15"/>
    <row r="161" spans="1:2" s="63" customFormat="1" ht="15">
      <c r="A161" s="63" t="s">
        <v>158</v>
      </c>
      <c r="B161" s="68">
        <f>B153*((E155+F153)/E153)</f>
        <v>592664.0243470876</v>
      </c>
    </row>
    <row r="162" spans="1:2" s="63" customFormat="1" ht="15">
      <c r="A162" s="66" t="s">
        <v>159</v>
      </c>
      <c r="B162" s="102">
        <f>B161-B158</f>
        <v>125681.22301649093</v>
      </c>
    </row>
    <row r="163" s="63" customFormat="1" ht="15"/>
    <row r="164" s="63" customFormat="1" ht="15"/>
    <row r="165" s="1" customFormat="1" ht="18">
      <c r="A165" s="1" t="s">
        <v>162</v>
      </c>
    </row>
    <row r="166" s="3" customFormat="1" ht="18">
      <c r="A166" s="2" t="s">
        <v>1</v>
      </c>
    </row>
    <row r="167" spans="1:9" s="3" customFormat="1" ht="100.5" customHeight="1">
      <c r="A167" s="140" t="s">
        <v>164</v>
      </c>
      <c r="B167" s="140"/>
      <c r="C167" s="140"/>
      <c r="D167" s="140"/>
      <c r="E167" s="140"/>
      <c r="F167" s="140"/>
      <c r="G167" s="140"/>
      <c r="H167" s="140"/>
      <c r="I167" s="140"/>
    </row>
    <row r="168" s="3" customFormat="1" ht="20.25" customHeight="1"/>
    <row r="169" s="3" customFormat="1" ht="20.25" customHeight="1"/>
    <row r="170" s="3" customFormat="1" ht="18">
      <c r="A170" s="2" t="s">
        <v>2</v>
      </c>
    </row>
    <row r="171" s="63" customFormat="1" ht="15"/>
    <row r="172" spans="1:11" s="100" customFormat="1" ht="15">
      <c r="A172" s="63" t="s">
        <v>57</v>
      </c>
      <c r="B172" s="63">
        <v>29</v>
      </c>
      <c r="C172" s="63"/>
      <c r="D172" s="63"/>
      <c r="E172" s="63"/>
      <c r="F172" s="63"/>
      <c r="G172" s="63"/>
      <c r="H172" s="63"/>
      <c r="I172" s="63"/>
      <c r="J172" s="63"/>
      <c r="K172" s="63"/>
    </row>
    <row r="173" spans="1:11" s="100" customFormat="1" ht="15">
      <c r="A173" s="63" t="s">
        <v>58</v>
      </c>
      <c r="B173" s="63">
        <v>35</v>
      </c>
      <c r="C173" s="63"/>
      <c r="D173" s="63"/>
      <c r="E173" s="63" t="s">
        <v>138</v>
      </c>
      <c r="F173" s="100" t="s">
        <v>139</v>
      </c>
      <c r="G173" s="100" t="s">
        <v>168</v>
      </c>
      <c r="H173" s="100" t="s">
        <v>163</v>
      </c>
      <c r="I173" s="63" t="s">
        <v>154</v>
      </c>
      <c r="J173" s="63"/>
      <c r="K173" s="63"/>
    </row>
    <row r="174" spans="1:11" s="100" customFormat="1" ht="15">
      <c r="A174" s="63" t="s">
        <v>60</v>
      </c>
      <c r="B174" s="63">
        <v>0.04</v>
      </c>
      <c r="C174" s="63"/>
      <c r="D174" s="63">
        <v>29</v>
      </c>
      <c r="E174" s="77">
        <v>30963.062556938075</v>
      </c>
      <c r="F174" s="103">
        <v>646173.1747142692</v>
      </c>
      <c r="G174" s="104">
        <v>10813011.119228583</v>
      </c>
      <c r="H174" s="65">
        <v>29.29027345747493</v>
      </c>
      <c r="I174" s="77">
        <v>6110.248144850771</v>
      </c>
      <c r="J174" s="63"/>
      <c r="K174" s="63"/>
    </row>
    <row r="175" spans="1:11" s="100" customFormat="1" ht="15">
      <c r="A175" s="63" t="s">
        <v>111</v>
      </c>
      <c r="B175" s="64">
        <v>300000</v>
      </c>
      <c r="C175" s="63"/>
      <c r="D175" s="63">
        <v>30</v>
      </c>
      <c r="E175" s="77">
        <v>29742.885262059914</v>
      </c>
      <c r="F175" s="103">
        <v>615210.1121573312</v>
      </c>
      <c r="G175" s="104">
        <v>10166837.944514316</v>
      </c>
      <c r="H175" s="65">
        <v>28.163724478341276</v>
      </c>
      <c r="I175" s="77">
        <v>6080.957871393296</v>
      </c>
      <c r="J175" s="63"/>
      <c r="K175" s="63"/>
    </row>
    <row r="176" spans="1:11" s="100" customFormat="1" ht="15">
      <c r="A176" s="100" t="s">
        <v>167</v>
      </c>
      <c r="B176" s="100">
        <v>300</v>
      </c>
      <c r="C176" s="63"/>
      <c r="D176" s="63">
        <v>31</v>
      </c>
      <c r="E176" s="77">
        <v>28570.764412117725</v>
      </c>
      <c r="F176" s="103">
        <v>585467.2268952713</v>
      </c>
      <c r="G176" s="104">
        <v>9551627.832356986</v>
      </c>
      <c r="H176" s="65">
        <v>28.505794006418295</v>
      </c>
      <c r="I176" s="77">
        <v>6052.794146914955</v>
      </c>
      <c r="J176" s="63"/>
      <c r="K176" s="63"/>
    </row>
    <row r="177" spans="1:11" s="100" customFormat="1" ht="15">
      <c r="A177" s="63" t="s">
        <v>8</v>
      </c>
      <c r="B177" s="64">
        <v>5</v>
      </c>
      <c r="C177" s="63"/>
      <c r="D177" s="63">
        <v>32</v>
      </c>
      <c r="E177" s="77">
        <v>27443.383063799083</v>
      </c>
      <c r="F177" s="103">
        <v>556896.4624831534</v>
      </c>
      <c r="G177" s="104">
        <v>8966160.605461715</v>
      </c>
      <c r="H177" s="65">
        <v>28.231699833279656</v>
      </c>
      <c r="I177" s="77">
        <v>6024.288352908537</v>
      </c>
      <c r="J177" s="63"/>
      <c r="K177" s="63"/>
    </row>
    <row r="178" spans="3:11" s="100" customFormat="1" ht="15">
      <c r="C178" s="63"/>
      <c r="D178" s="63">
        <v>33</v>
      </c>
      <c r="E178" s="77">
        <v>26359.636630742763</v>
      </c>
      <c r="F178" s="103">
        <v>529453.0794193546</v>
      </c>
      <c r="G178" s="104">
        <v>8409264.142978562</v>
      </c>
      <c r="H178" s="65">
        <v>27.409417313863745</v>
      </c>
      <c r="I178" s="77">
        <v>5996.056653075258</v>
      </c>
      <c r="J178" s="63"/>
      <c r="K178" s="63"/>
    </row>
    <row r="179" spans="1:11" s="100" customFormat="1" ht="15">
      <c r="A179" s="63" t="s">
        <v>129</v>
      </c>
      <c r="B179" s="68">
        <f>B175*(I174-I181)/E174</f>
        <v>24052.045312438793</v>
      </c>
      <c r="C179" s="63"/>
      <c r="D179" s="63">
        <v>34</v>
      </c>
      <c r="E179" s="77">
        <v>25318.395035323407</v>
      </c>
      <c r="F179" s="103">
        <v>503093.4427886119</v>
      </c>
      <c r="G179" s="104">
        <v>7879811.063559204</v>
      </c>
      <c r="H179" s="65">
        <v>28.382532721456535</v>
      </c>
      <c r="I179" s="77">
        <v>5968.647235761394</v>
      </c>
      <c r="J179" s="63"/>
      <c r="K179" s="63"/>
    </row>
    <row r="180" spans="1:11" s="100" customFormat="1" ht="19.5">
      <c r="A180" s="100" t="s">
        <v>165</v>
      </c>
      <c r="B180" s="106">
        <f>G174/E174</f>
        <v>349.22292003074637</v>
      </c>
      <c r="C180" s="63"/>
      <c r="D180" s="63">
        <v>39</v>
      </c>
      <c r="E180" s="77">
        <v>20666.255717097712</v>
      </c>
      <c r="F180" s="79">
        <v>386152.62117424305</v>
      </c>
      <c r="G180" s="78">
        <v>5607695.389603502</v>
      </c>
      <c r="H180" s="65">
        <v>37.28373899466644</v>
      </c>
      <c r="I180" s="77">
        <v>5814.231825780659</v>
      </c>
      <c r="J180" s="63"/>
      <c r="K180" s="63"/>
    </row>
    <row r="181" spans="1:9" s="63" customFormat="1" ht="19.5">
      <c r="A181" s="94" t="s">
        <v>166</v>
      </c>
      <c r="B181" s="65">
        <f>F180/E174</f>
        <v>12.471396214897856</v>
      </c>
      <c r="D181" s="63">
        <v>64</v>
      </c>
      <c r="E181" s="77">
        <v>6177.0728632417695</v>
      </c>
      <c r="F181" s="79">
        <v>66280.27459288303</v>
      </c>
      <c r="G181" s="78">
        <v>547665.515849357</v>
      </c>
      <c r="H181" s="65">
        <v>142.43594924999726</v>
      </c>
      <c r="I181" s="77">
        <v>3627.831532746265</v>
      </c>
    </row>
    <row r="182" spans="1:2" s="63" customFormat="1" ht="19.5">
      <c r="A182" s="94" t="s">
        <v>170</v>
      </c>
      <c r="B182" s="63">
        <f>(F174-F180)/E174</f>
        <v>8.39776598525658</v>
      </c>
    </row>
    <row r="183" spans="1:2" s="63" customFormat="1" ht="19.5">
      <c r="A183" s="105" t="s">
        <v>169</v>
      </c>
      <c r="B183" s="106">
        <f>G180/E174</f>
        <v>181.10919678218178</v>
      </c>
    </row>
    <row r="184" spans="1:7" s="63" customFormat="1" ht="19.5">
      <c r="A184" s="105" t="s">
        <v>171</v>
      </c>
      <c r="B184" s="65">
        <f>B180-10*B181-B183</f>
        <v>43.399761099586016</v>
      </c>
      <c r="G184" s="101"/>
    </row>
    <row r="185" spans="1:7" s="63" customFormat="1" ht="15">
      <c r="A185" s="63" t="s">
        <v>62</v>
      </c>
      <c r="B185" s="68">
        <f>(B179-B176*B184)/B182</f>
        <v>1313.696642884711</v>
      </c>
      <c r="G185" s="101"/>
    </row>
    <row r="186" spans="1:9" s="63" customFormat="1" ht="17.25">
      <c r="A186" s="66" t="s">
        <v>124</v>
      </c>
      <c r="B186" s="102">
        <f aca="true" t="shared" si="2" ref="B186:B195">B185+$B$176</f>
        <v>1613.696642884711</v>
      </c>
      <c r="D186" s="66" t="s">
        <v>178</v>
      </c>
      <c r="E186" s="107">
        <f>$B$175*(H174/E174)</f>
        <v>283.79240655164153</v>
      </c>
      <c r="G186" s="66" t="s">
        <v>183</v>
      </c>
      <c r="H186" s="108">
        <f>B186-E186</f>
        <v>1329.9042363330695</v>
      </c>
      <c r="I186" s="68">
        <f>H186*(E174/$E$179)</f>
        <v>1626.4027797523383</v>
      </c>
    </row>
    <row r="187" spans="1:9" s="63" customFormat="1" ht="17.25">
      <c r="A187" s="66" t="s">
        <v>125</v>
      </c>
      <c r="B187" s="102">
        <f t="shared" si="2"/>
        <v>1913.696642884711</v>
      </c>
      <c r="D187" s="66" t="s">
        <v>179</v>
      </c>
      <c r="E187" s="107">
        <f>$B$175*(H175/E175)</f>
        <v>284.0718803525122</v>
      </c>
      <c r="G187" s="66" t="s">
        <v>184</v>
      </c>
      <c r="H187" s="108">
        <f>B187-E187</f>
        <v>1629.624762532199</v>
      </c>
      <c r="I187" s="68">
        <f>H187*(E175/$E$179)</f>
        <v>1914.4081709991256</v>
      </c>
    </row>
    <row r="188" spans="1:9" s="63" customFormat="1" ht="17.25">
      <c r="A188" s="66" t="s">
        <v>126</v>
      </c>
      <c r="B188" s="102">
        <f t="shared" si="2"/>
        <v>2213.696642884711</v>
      </c>
      <c r="D188" s="66" t="s">
        <v>180</v>
      </c>
      <c r="E188" s="107">
        <f>$B$175*(H176/E176)</f>
        <v>299.3177948819051</v>
      </c>
      <c r="G188" s="66" t="s">
        <v>185</v>
      </c>
      <c r="H188" s="108">
        <f>B188-E188</f>
        <v>1914.3788480028056</v>
      </c>
      <c r="I188" s="68">
        <f>H188*(E176/$E$179)</f>
        <v>2160.297561734084</v>
      </c>
    </row>
    <row r="189" spans="1:9" s="63" customFormat="1" ht="17.25">
      <c r="A189" s="66" t="s">
        <v>127</v>
      </c>
      <c r="B189" s="102">
        <f t="shared" si="2"/>
        <v>2513.696642884711</v>
      </c>
      <c r="D189" s="66" t="s">
        <v>181</v>
      </c>
      <c r="E189" s="107">
        <f>$B$175*(H177/E177)</f>
        <v>308.61756111826224</v>
      </c>
      <c r="G189" s="66" t="s">
        <v>186</v>
      </c>
      <c r="H189" s="108">
        <f>B189-E189</f>
        <v>2205.079081766449</v>
      </c>
      <c r="I189" s="68">
        <f>H189*(E177/$E$179)</f>
        <v>2390.152687105903</v>
      </c>
    </row>
    <row r="190" spans="1:9" s="63" customFormat="1" ht="17.25">
      <c r="A190" s="66" t="s">
        <v>172</v>
      </c>
      <c r="B190" s="102">
        <f t="shared" si="2"/>
        <v>2813.696642884711</v>
      </c>
      <c r="D190" s="66" t="s">
        <v>182</v>
      </c>
      <c r="E190" s="107">
        <f>$B$175*(H178/E178)</f>
        <v>311.9475928044088</v>
      </c>
      <c r="G190" s="66" t="s">
        <v>187</v>
      </c>
      <c r="H190" s="108">
        <f>B190-E190</f>
        <v>2501.749050080302</v>
      </c>
      <c r="I190" s="68">
        <f>H190*(E178/$E$179)</f>
        <v>2604.6357128648174</v>
      </c>
    </row>
    <row r="191" spans="1:9" s="63" customFormat="1" ht="17.25">
      <c r="A191" s="66" t="s">
        <v>173</v>
      </c>
      <c r="B191" s="102">
        <f t="shared" si="2"/>
        <v>3113.696642884711</v>
      </c>
      <c r="G191" s="101"/>
      <c r="I191" s="95">
        <f>SUM(I186:I190)</f>
        <v>10695.896912456268</v>
      </c>
    </row>
    <row r="192" spans="1:7" s="63" customFormat="1" ht="15">
      <c r="A192" s="66" t="s">
        <v>174</v>
      </c>
      <c r="B192" s="102">
        <f t="shared" si="2"/>
        <v>3413.696642884711</v>
      </c>
      <c r="G192" s="101"/>
    </row>
    <row r="193" spans="1:7" s="63" customFormat="1" ht="15">
      <c r="A193" s="66" t="s">
        <v>175</v>
      </c>
      <c r="B193" s="102">
        <f t="shared" si="2"/>
        <v>3713.696642884711</v>
      </c>
      <c r="G193" s="101"/>
    </row>
    <row r="194" spans="1:2" s="63" customFormat="1" ht="15">
      <c r="A194" s="66" t="s">
        <v>176</v>
      </c>
      <c r="B194" s="102">
        <f t="shared" si="2"/>
        <v>4013.696642884711</v>
      </c>
    </row>
    <row r="195" spans="1:2" s="63" customFormat="1" ht="15">
      <c r="A195" s="66" t="s">
        <v>177</v>
      </c>
      <c r="B195" s="102">
        <f t="shared" si="2"/>
        <v>4313.696642884711</v>
      </c>
    </row>
    <row r="196" s="63" customFormat="1" ht="15"/>
    <row r="197" spans="1:2" s="63" customFormat="1" ht="15">
      <c r="A197" s="63" t="s">
        <v>188</v>
      </c>
      <c r="B197" s="68">
        <f>B175*(I179-I181)/E179</f>
        <v>27736.541353620145</v>
      </c>
    </row>
    <row r="198" spans="1:2" s="63" customFormat="1" ht="19.5">
      <c r="A198" s="100" t="s">
        <v>189</v>
      </c>
      <c r="B198" s="106">
        <f>G179/E179</f>
        <v>311.22869568017825</v>
      </c>
    </row>
    <row r="199" spans="1:2" s="63" customFormat="1" ht="19.5">
      <c r="A199" s="94" t="s">
        <v>193</v>
      </c>
      <c r="B199" s="65">
        <f>(F179-F180)/E179</f>
        <v>4.6188086350346</v>
      </c>
    </row>
    <row r="200" spans="1:2" s="63" customFormat="1" ht="19.5">
      <c r="A200" s="94" t="s">
        <v>190</v>
      </c>
      <c r="B200" s="65">
        <f>F180/E179</f>
        <v>15.251860184482286</v>
      </c>
    </row>
    <row r="201" spans="1:2" s="63" customFormat="1" ht="19.5">
      <c r="A201" s="105" t="s">
        <v>191</v>
      </c>
      <c r="B201" s="106">
        <f>G180/E179</f>
        <v>221.4870011222997</v>
      </c>
    </row>
    <row r="202" spans="1:2" s="63" customFormat="1" ht="19.5">
      <c r="A202" s="105" t="s">
        <v>192</v>
      </c>
      <c r="B202" s="65">
        <f>B198-5*B200-B201</f>
        <v>13.482393635467133</v>
      </c>
    </row>
    <row r="203" spans="1:2" s="63" customFormat="1" ht="15">
      <c r="A203" s="63" t="s">
        <v>114</v>
      </c>
      <c r="B203" s="68">
        <f>B190*B199+B176*B202</f>
        <v>17040.644441163906</v>
      </c>
    </row>
    <row r="204" spans="1:2" s="63" customFormat="1" ht="15">
      <c r="A204" s="66" t="s">
        <v>194</v>
      </c>
      <c r="B204" s="102">
        <f>B197-B203</f>
        <v>10695.896912456239</v>
      </c>
    </row>
    <row r="205" s="63" customFormat="1" ht="15">
      <c r="A205" s="66"/>
    </row>
    <row r="206" s="63" customFormat="1" ht="15"/>
    <row r="207" s="63" customFormat="1" ht="15"/>
    <row r="208" s="63" customFormat="1" ht="15"/>
    <row r="209" s="63" customFormat="1" ht="15"/>
    <row r="210" s="63" customFormat="1" ht="15"/>
    <row r="211" s="63" customFormat="1" ht="15"/>
    <row r="212" s="63" customFormat="1" ht="15"/>
    <row r="213" s="63" customFormat="1" ht="15"/>
    <row r="214" s="63" customFormat="1" ht="15"/>
    <row r="215" s="63" customFormat="1" ht="15"/>
    <row r="216" s="63" customFormat="1" ht="15"/>
    <row r="217" s="63" customFormat="1" ht="15"/>
    <row r="218" s="63" customFormat="1" ht="15"/>
    <row r="219" s="63" customFormat="1" ht="15"/>
    <row r="220" s="63" customFormat="1" ht="15"/>
    <row r="221" s="63" customFormat="1" ht="15"/>
    <row r="222" s="63" customFormat="1" ht="15"/>
    <row r="223" s="63" customFormat="1" ht="15"/>
    <row r="224" s="63" customFormat="1" ht="15"/>
    <row r="225" s="63" customFormat="1" ht="15"/>
    <row r="226" s="63" customFormat="1" ht="15"/>
    <row r="227" s="63" customFormat="1" ht="15"/>
    <row r="228" s="63" customFormat="1" ht="15"/>
    <row r="229" s="63" customFormat="1" ht="15"/>
    <row r="230" s="63" customFormat="1" ht="15"/>
    <row r="231" s="63" customFormat="1" ht="15"/>
    <row r="232" s="63" customFormat="1" ht="15"/>
    <row r="233" s="63" customFormat="1" ht="15"/>
    <row r="234" s="63" customFormat="1" ht="15"/>
    <row r="235" s="63" customFormat="1" ht="15"/>
    <row r="236" s="63" customFormat="1" ht="15"/>
    <row r="237" s="63" customFormat="1" ht="15"/>
    <row r="238" s="63" customFormat="1" ht="15"/>
    <row r="239" s="63" customFormat="1" ht="15"/>
    <row r="240" s="63" customFormat="1" ht="15"/>
    <row r="241" s="63" customFormat="1" ht="15"/>
    <row r="242" s="63" customFormat="1" ht="15"/>
    <row r="243" s="63" customFormat="1" ht="15"/>
    <row r="244" s="63" customFormat="1" ht="15"/>
    <row r="245" s="63" customFormat="1" ht="15"/>
    <row r="246" s="63" customFormat="1" ht="15"/>
    <row r="247" s="63" customFormat="1" ht="15"/>
    <row r="248" s="63" customFormat="1" ht="15"/>
    <row r="249" s="63" customFormat="1" ht="15"/>
    <row r="250" s="63" customFormat="1" ht="15"/>
    <row r="251" s="63" customFormat="1" ht="15"/>
    <row r="252" s="63" customFormat="1" ht="15"/>
    <row r="253" s="63" customFormat="1" ht="15"/>
    <row r="254" s="63" customFormat="1" ht="15"/>
    <row r="255" s="63" customFormat="1" ht="15"/>
    <row r="256" s="63" customFormat="1" ht="15"/>
    <row r="257" s="63" customFormat="1" ht="15"/>
    <row r="258" s="63" customFormat="1" ht="15"/>
    <row r="259" s="63" customFormat="1" ht="15"/>
    <row r="260" s="63" customFormat="1" ht="15"/>
    <row r="261" s="63" customFormat="1" ht="15"/>
    <row r="262" s="63" customFormat="1" ht="15"/>
    <row r="263" s="63" customFormat="1" ht="15"/>
    <row r="264" s="63" customFormat="1" ht="15"/>
    <row r="265" s="63" customFormat="1" ht="15"/>
    <row r="266" s="63" customFormat="1" ht="15"/>
    <row r="267" s="63" customFormat="1" ht="15"/>
    <row r="268" s="63" customFormat="1" ht="15"/>
    <row r="269" s="63" customFormat="1" ht="15"/>
    <row r="270" s="63" customFormat="1" ht="15"/>
    <row r="271" s="63" customFormat="1" ht="15"/>
    <row r="272" s="63" customFormat="1" ht="15"/>
    <row r="273" s="63" customFormat="1" ht="15"/>
    <row r="274" s="63" customFormat="1" ht="15"/>
    <row r="275" s="63" customFormat="1" ht="15"/>
    <row r="276" s="63" customFormat="1" ht="15"/>
    <row r="277" s="63" customFormat="1" ht="15"/>
    <row r="278" s="63" customFormat="1" ht="15"/>
    <row r="279" s="63" customFormat="1" ht="15"/>
    <row r="280" s="63" customFormat="1" ht="15"/>
    <row r="281" s="63" customFormat="1" ht="15"/>
    <row r="282" s="63" customFormat="1" ht="15"/>
    <row r="283" s="63" customFormat="1" ht="15"/>
    <row r="284" s="63" customFormat="1" ht="15"/>
    <row r="285" s="63" customFormat="1" ht="15"/>
    <row r="286" s="63" customFormat="1" ht="15"/>
    <row r="287" s="63" customFormat="1" ht="15"/>
    <row r="288" s="63" customFormat="1" ht="15"/>
    <row r="289" s="63" customFormat="1" ht="15"/>
    <row r="290" s="63" customFormat="1" ht="15"/>
    <row r="291" s="63" customFormat="1" ht="15"/>
    <row r="292" s="63" customFormat="1" ht="15"/>
    <row r="293" s="63" customFormat="1" ht="15"/>
    <row r="294" s="63" customFormat="1" ht="15"/>
    <row r="295" s="63" customFormat="1" ht="15"/>
    <row r="296" s="63" customFormat="1" ht="15"/>
    <row r="297" s="63" customFormat="1" ht="15"/>
    <row r="298" s="63" customFormat="1" ht="15"/>
    <row r="299" s="63" customFormat="1" ht="15"/>
    <row r="300" s="63" customFormat="1" ht="15"/>
    <row r="301" s="63" customFormat="1" ht="15"/>
    <row r="302" s="63" customFormat="1" ht="15"/>
    <row r="303" s="63" customFormat="1" ht="15"/>
    <row r="304" s="63" customFormat="1" ht="15"/>
    <row r="305" s="63" customFormat="1" ht="15"/>
    <row r="306" s="63" customFormat="1" ht="15"/>
    <row r="307" s="63" customFormat="1" ht="15"/>
    <row r="308" s="63" customFormat="1" ht="15"/>
    <row r="309" s="63" customFormat="1" ht="15"/>
    <row r="310" s="63" customFormat="1" ht="15"/>
    <row r="311" s="63" customFormat="1" ht="15"/>
    <row r="312" s="63" customFormat="1" ht="15"/>
    <row r="313" s="63" customFormat="1" ht="15"/>
    <row r="314" s="63" customFormat="1" ht="15"/>
    <row r="315" s="63" customFormat="1" ht="15"/>
    <row r="316" s="63" customFormat="1" ht="15"/>
    <row r="317" s="63" customFormat="1" ht="15"/>
    <row r="318" s="63" customFormat="1" ht="15"/>
    <row r="319" s="63" customFormat="1" ht="15"/>
    <row r="320" s="63" customFormat="1" ht="15"/>
    <row r="321" s="63" customFormat="1" ht="15"/>
    <row r="322" s="63" customFormat="1" ht="15"/>
    <row r="323" s="63" customFormat="1" ht="15"/>
    <row r="324" s="63" customFormat="1" ht="15"/>
    <row r="325" s="63" customFormat="1" ht="15"/>
    <row r="326" s="63" customFormat="1" ht="15"/>
    <row r="327" s="63" customFormat="1" ht="15"/>
    <row r="328" s="63" customFormat="1" ht="15"/>
    <row r="329" s="63" customFormat="1" ht="15"/>
    <row r="330" s="63" customFormat="1" ht="15"/>
    <row r="331" s="63" customFormat="1" ht="15"/>
    <row r="332" s="63" customFormat="1" ht="15"/>
    <row r="333" s="63" customFormat="1" ht="15"/>
    <row r="334" s="63" customFormat="1" ht="15"/>
    <row r="335" s="63" customFormat="1" ht="15"/>
    <row r="336" s="63" customFormat="1" ht="15"/>
    <row r="337" s="63" customFormat="1" ht="15"/>
    <row r="338" s="63" customFormat="1" ht="15"/>
    <row r="339" s="63" customFormat="1" ht="15"/>
    <row r="340" s="63" customFormat="1" ht="15"/>
    <row r="341" s="63" customFormat="1" ht="15"/>
    <row r="342" s="63" customFormat="1" ht="15"/>
    <row r="343" s="63" customFormat="1" ht="15"/>
    <row r="344" s="63" customFormat="1" ht="15"/>
    <row r="345" s="63" customFormat="1" ht="15"/>
    <row r="346" s="63" customFormat="1" ht="15"/>
    <row r="347" s="63" customFormat="1" ht="15"/>
    <row r="348" s="63" customFormat="1" ht="15"/>
    <row r="349" s="63" customFormat="1" ht="15"/>
    <row r="350" s="63" customFormat="1" ht="15"/>
    <row r="351" s="63" customFormat="1" ht="15"/>
    <row r="352" s="63" customFormat="1" ht="15"/>
    <row r="353" s="63" customFormat="1" ht="15"/>
    <row r="354" s="63" customFormat="1" ht="15"/>
    <row r="355" s="63" customFormat="1" ht="15"/>
    <row r="356" s="63" customFormat="1" ht="15"/>
    <row r="357" s="63" customFormat="1" ht="15"/>
    <row r="358" s="63" customFormat="1" ht="15"/>
    <row r="359" s="63" customFormat="1" ht="15"/>
    <row r="360" s="63" customFormat="1" ht="15"/>
    <row r="361" s="63" customFormat="1" ht="15"/>
    <row r="362" s="63" customFormat="1" ht="15"/>
    <row r="363" s="63" customFormat="1" ht="15"/>
    <row r="364" s="63" customFormat="1" ht="15"/>
    <row r="365" s="63" customFormat="1" ht="15"/>
    <row r="366" s="63" customFormat="1" ht="15"/>
    <row r="367" s="63" customFormat="1" ht="15"/>
    <row r="368" s="63" customFormat="1" ht="15"/>
    <row r="369" s="63" customFormat="1" ht="15"/>
    <row r="370" s="63" customFormat="1" ht="15"/>
    <row r="371" s="63" customFormat="1" ht="15"/>
    <row r="372" s="63" customFormat="1" ht="15"/>
    <row r="373" s="63" customFormat="1" ht="15"/>
    <row r="374" s="63" customFormat="1" ht="15"/>
    <row r="375" s="63" customFormat="1" ht="15"/>
    <row r="376" s="63" customFormat="1" ht="15"/>
    <row r="377" s="63" customFormat="1" ht="15"/>
    <row r="378" s="63" customFormat="1" ht="15"/>
    <row r="379" s="63" customFormat="1" ht="15"/>
    <row r="380" s="63" customFormat="1" ht="15"/>
    <row r="381" s="63" customFormat="1" ht="15"/>
    <row r="382" s="63" customFormat="1" ht="15"/>
    <row r="383" s="63" customFormat="1" ht="15"/>
    <row r="384" s="63" customFormat="1" ht="15"/>
    <row r="385" s="63" customFormat="1" ht="15"/>
    <row r="386" s="63" customFormat="1" ht="15"/>
    <row r="387" s="63" customFormat="1" ht="15"/>
    <row r="388" s="63" customFormat="1" ht="15"/>
    <row r="389" s="63" customFormat="1" ht="15"/>
    <row r="390" s="63" customFormat="1" ht="15"/>
    <row r="391" s="63" customFormat="1" ht="15"/>
    <row r="392" s="63" customFormat="1" ht="15"/>
    <row r="393" s="63" customFormat="1" ht="15"/>
    <row r="394" s="63" customFormat="1" ht="15"/>
    <row r="395" s="63" customFormat="1" ht="15"/>
    <row r="396" s="63" customFormat="1" ht="15"/>
    <row r="397" s="63" customFormat="1" ht="15"/>
    <row r="398" s="63" customFormat="1" ht="15"/>
    <row r="399" s="63" customFormat="1" ht="15"/>
    <row r="400" s="63" customFormat="1" ht="15"/>
    <row r="401" s="63" customFormat="1" ht="15"/>
    <row r="402" s="63" customFormat="1" ht="15"/>
    <row r="403" s="63" customFormat="1" ht="15"/>
    <row r="404" s="63" customFormat="1" ht="15"/>
    <row r="405" s="63" customFormat="1" ht="15"/>
    <row r="406" s="63" customFormat="1" ht="15"/>
    <row r="407" s="63" customFormat="1" ht="15"/>
    <row r="408" s="63" customFormat="1" ht="15"/>
    <row r="409" s="63" customFormat="1" ht="15"/>
    <row r="410" s="63" customFormat="1" ht="15"/>
    <row r="411" s="63" customFormat="1" ht="15"/>
    <row r="412" s="63" customFormat="1" ht="15"/>
    <row r="413" s="63" customFormat="1" ht="15"/>
    <row r="414" s="63" customFormat="1" ht="15"/>
    <row r="415" s="63" customFormat="1" ht="15"/>
    <row r="416" s="63" customFormat="1" ht="15"/>
    <row r="417" s="63" customFormat="1" ht="15"/>
    <row r="418" s="63" customFormat="1" ht="15"/>
    <row r="419" s="63" customFormat="1" ht="15"/>
    <row r="420" s="63" customFormat="1" ht="15"/>
    <row r="421" s="63" customFormat="1" ht="15"/>
    <row r="422" s="63" customFormat="1" ht="15"/>
    <row r="423" s="63" customFormat="1" ht="15"/>
    <row r="424" s="63" customFormat="1" ht="15"/>
    <row r="425" s="63" customFormat="1" ht="15"/>
    <row r="426" s="63" customFormat="1" ht="15"/>
    <row r="427" s="63" customFormat="1" ht="15"/>
    <row r="428" s="63" customFormat="1" ht="15"/>
    <row r="429" s="63" customFormat="1" ht="15"/>
    <row r="430" s="63" customFormat="1" ht="15"/>
    <row r="431" s="63" customFormat="1" ht="15"/>
    <row r="432" s="63" customFormat="1" ht="15"/>
    <row r="433" s="63" customFormat="1" ht="15"/>
    <row r="434" s="63" customFormat="1" ht="15"/>
    <row r="435" s="63" customFormat="1" ht="15"/>
    <row r="436" s="63" customFormat="1" ht="15"/>
    <row r="437" s="63" customFormat="1" ht="15"/>
    <row r="438" s="63" customFormat="1" ht="15"/>
    <row r="439" s="63" customFormat="1" ht="15"/>
    <row r="440" s="63" customFormat="1" ht="15"/>
    <row r="441" s="63" customFormat="1" ht="15"/>
    <row r="442" s="63" customFormat="1" ht="15"/>
    <row r="443" s="63" customFormat="1" ht="15"/>
    <row r="444" s="63" customFormat="1" ht="15"/>
    <row r="445" s="63" customFormat="1" ht="15"/>
    <row r="446" s="63" customFormat="1" ht="15"/>
    <row r="447" s="63" customFormat="1" ht="15"/>
    <row r="448" s="63" customFormat="1" ht="15"/>
    <row r="449" s="63" customFormat="1" ht="15"/>
    <row r="450" s="63" customFormat="1" ht="15"/>
    <row r="451" s="63" customFormat="1" ht="15"/>
    <row r="452" s="63" customFormat="1" ht="15"/>
    <row r="453" s="63" customFormat="1" ht="15"/>
    <row r="454" s="63" customFormat="1" ht="15"/>
    <row r="455" s="63" customFormat="1" ht="15"/>
    <row r="456" s="63" customFormat="1" ht="15"/>
    <row r="457" s="63" customFormat="1" ht="15"/>
    <row r="458" s="63" customFormat="1" ht="15"/>
    <row r="459" s="63" customFormat="1" ht="15"/>
    <row r="460" s="63" customFormat="1" ht="15"/>
    <row r="461" s="63" customFormat="1" ht="15"/>
    <row r="462" s="63" customFormat="1" ht="15"/>
    <row r="463" s="63" customFormat="1" ht="15"/>
    <row r="464" s="63" customFormat="1" ht="15"/>
    <row r="465" s="63" customFormat="1" ht="15"/>
    <row r="466" s="63" customFormat="1" ht="15"/>
    <row r="467" s="63" customFormat="1" ht="15"/>
    <row r="468" s="63" customFormat="1" ht="15"/>
    <row r="469" s="63" customFormat="1" ht="15"/>
    <row r="470" s="63" customFormat="1" ht="15"/>
    <row r="471" s="63" customFormat="1" ht="15"/>
    <row r="472" s="63" customFormat="1" ht="15"/>
    <row r="473" s="63" customFormat="1" ht="15"/>
    <row r="474" s="63" customFormat="1" ht="15"/>
    <row r="475" s="63" customFormat="1" ht="15"/>
    <row r="476" s="63" customFormat="1" ht="15"/>
    <row r="477" s="63" customFormat="1" ht="15"/>
    <row r="478" s="63" customFormat="1" ht="15"/>
    <row r="479" s="63" customFormat="1" ht="15"/>
    <row r="480" s="63" customFormat="1" ht="15"/>
    <row r="481" s="63" customFormat="1" ht="15"/>
    <row r="482" s="63" customFormat="1" ht="15"/>
    <row r="483" s="63" customFormat="1" ht="15"/>
    <row r="484" s="63" customFormat="1" ht="15"/>
    <row r="485" s="63" customFormat="1" ht="15"/>
    <row r="486" s="63" customFormat="1" ht="15"/>
    <row r="487" s="63" customFormat="1" ht="15"/>
    <row r="488" s="63" customFormat="1" ht="15"/>
    <row r="489" s="63" customFormat="1" ht="15"/>
    <row r="490" s="63" customFormat="1" ht="15"/>
    <row r="491" s="63" customFormat="1" ht="15"/>
    <row r="492" s="63" customFormat="1" ht="15"/>
    <row r="493" s="63" customFormat="1" ht="15"/>
    <row r="494" s="63" customFormat="1" ht="15"/>
    <row r="495" s="63" customFormat="1" ht="15"/>
    <row r="496" s="63" customFormat="1" ht="15"/>
    <row r="497" s="63" customFormat="1" ht="15"/>
    <row r="498" s="63" customFormat="1" ht="15"/>
    <row r="499" s="63" customFormat="1" ht="15"/>
    <row r="500" s="63" customFormat="1" ht="15"/>
    <row r="501" s="63" customFormat="1" ht="15"/>
    <row r="502" s="63" customFormat="1" ht="15"/>
    <row r="503" s="63" customFormat="1" ht="15"/>
    <row r="504" s="63" customFormat="1" ht="15"/>
    <row r="505" s="63" customFormat="1" ht="15"/>
    <row r="506" s="63" customFormat="1" ht="15"/>
    <row r="507" s="63" customFormat="1" ht="15"/>
    <row r="508" s="63" customFormat="1" ht="15"/>
    <row r="509" s="63" customFormat="1" ht="15"/>
    <row r="510" s="63" customFormat="1" ht="15"/>
    <row r="511" s="63" customFormat="1" ht="15"/>
    <row r="512" s="63" customFormat="1" ht="15"/>
    <row r="513" s="63" customFormat="1" ht="15"/>
    <row r="514" s="63" customFormat="1" ht="15"/>
    <row r="515" s="63" customFormat="1" ht="15"/>
    <row r="516" s="63" customFormat="1" ht="15"/>
    <row r="517" s="63" customFormat="1" ht="15"/>
    <row r="518" s="63" customFormat="1" ht="15"/>
    <row r="519" s="63" customFormat="1" ht="15"/>
    <row r="520" s="63" customFormat="1" ht="15"/>
    <row r="521" s="63" customFormat="1" ht="15"/>
    <row r="522" s="63" customFormat="1" ht="15"/>
    <row r="523" s="63" customFormat="1" ht="15"/>
    <row r="524" s="63" customFormat="1" ht="15"/>
    <row r="525" s="63" customFormat="1" ht="15"/>
    <row r="526" s="63" customFormat="1" ht="15"/>
    <row r="527" s="63" customFormat="1" ht="15"/>
    <row r="528" s="63" customFormat="1" ht="15"/>
    <row r="529" s="63" customFormat="1" ht="15"/>
    <row r="530" s="63" customFormat="1" ht="15"/>
    <row r="531" s="63" customFormat="1" ht="15"/>
    <row r="532" s="63" customFormat="1" ht="15"/>
    <row r="533" s="63" customFormat="1" ht="15"/>
    <row r="534" s="63" customFormat="1" ht="15"/>
    <row r="535" s="63" customFormat="1" ht="15"/>
    <row r="536" s="63" customFormat="1" ht="15"/>
    <row r="537" s="63" customFormat="1" ht="15"/>
    <row r="538" s="63" customFormat="1" ht="15"/>
    <row r="539" s="63" customFormat="1" ht="15"/>
    <row r="540" s="63" customFormat="1" ht="15"/>
    <row r="541" s="63" customFormat="1" ht="15"/>
    <row r="542" s="63" customFormat="1" ht="15"/>
    <row r="543" s="63" customFormat="1" ht="15"/>
    <row r="544" s="63" customFormat="1" ht="15"/>
    <row r="545" s="63" customFormat="1" ht="15"/>
    <row r="546" s="63" customFormat="1" ht="15"/>
    <row r="547" s="63" customFormat="1" ht="15"/>
    <row r="548" s="63" customFormat="1" ht="15"/>
    <row r="549" s="63" customFormat="1" ht="15"/>
    <row r="550" s="63" customFormat="1" ht="15"/>
    <row r="551" s="63" customFormat="1" ht="15"/>
    <row r="552" s="63" customFormat="1" ht="15"/>
    <row r="553" s="63" customFormat="1" ht="15"/>
    <row r="554" s="63" customFormat="1" ht="15"/>
    <row r="555" s="63" customFormat="1" ht="15"/>
    <row r="556" s="63" customFormat="1" ht="15"/>
    <row r="557" s="63" customFormat="1" ht="15"/>
    <row r="558" s="63" customFormat="1" ht="15"/>
    <row r="559" s="63" customFormat="1" ht="15"/>
    <row r="560" s="63" customFormat="1" ht="15"/>
    <row r="561" s="63" customFormat="1" ht="15"/>
    <row r="562" s="63" customFormat="1" ht="15"/>
    <row r="563" s="63" customFormat="1" ht="15"/>
    <row r="564" s="63" customFormat="1" ht="15"/>
    <row r="565" s="63" customFormat="1" ht="15"/>
    <row r="566" s="63" customFormat="1" ht="15"/>
    <row r="567" s="63" customFormat="1" ht="15"/>
    <row r="568" s="63" customFormat="1" ht="15"/>
    <row r="569" s="63" customFormat="1" ht="15"/>
    <row r="570" s="63" customFormat="1" ht="15"/>
    <row r="571" s="63" customFormat="1" ht="15"/>
    <row r="572" s="63" customFormat="1" ht="15"/>
    <row r="573" s="63" customFormat="1" ht="15"/>
    <row r="574" s="63" customFormat="1" ht="15"/>
    <row r="575" s="63" customFormat="1" ht="15"/>
    <row r="576" s="63" customFormat="1" ht="15"/>
    <row r="577" s="63" customFormat="1" ht="15"/>
    <row r="578" s="63" customFormat="1" ht="15"/>
    <row r="579" s="63" customFormat="1" ht="15"/>
    <row r="580" s="63" customFormat="1" ht="15"/>
    <row r="581" s="63" customFormat="1" ht="15"/>
    <row r="582" s="63" customFormat="1" ht="15"/>
    <row r="583" s="63" customFormat="1" ht="15"/>
    <row r="584" s="63" customFormat="1" ht="15"/>
    <row r="585" s="63" customFormat="1" ht="15"/>
    <row r="586" s="63" customFormat="1" ht="15"/>
    <row r="587" s="63" customFormat="1" ht="15"/>
    <row r="588" s="63" customFormat="1" ht="15"/>
    <row r="589" s="63" customFormat="1" ht="15"/>
    <row r="590" s="63" customFormat="1" ht="15"/>
    <row r="591" s="63" customFormat="1" ht="15"/>
    <row r="592" s="63" customFormat="1" ht="15"/>
    <row r="593" s="63" customFormat="1" ht="15"/>
    <row r="594" s="63" customFormat="1" ht="15"/>
    <row r="595" s="63" customFormat="1" ht="15"/>
    <row r="596" s="63" customFormat="1" ht="15"/>
    <row r="597" s="63" customFormat="1" ht="15"/>
    <row r="598" s="63" customFormat="1" ht="15"/>
    <row r="599" s="63" customFormat="1" ht="15"/>
    <row r="600" s="63" customFormat="1" ht="15"/>
    <row r="601" s="63" customFormat="1" ht="15"/>
    <row r="602" s="63" customFormat="1" ht="15"/>
    <row r="603" s="63" customFormat="1" ht="15"/>
    <row r="604" s="63" customFormat="1" ht="15"/>
    <row r="605" s="63" customFormat="1" ht="15"/>
    <row r="606" s="63" customFormat="1" ht="15"/>
    <row r="607" s="63" customFormat="1" ht="15"/>
    <row r="608" s="63" customFormat="1" ht="15"/>
    <row r="609" s="63" customFormat="1" ht="15"/>
    <row r="610" s="63" customFormat="1" ht="15"/>
    <row r="611" s="63" customFormat="1" ht="15"/>
    <row r="612" s="63" customFormat="1" ht="15"/>
    <row r="613" s="63" customFormat="1" ht="15"/>
    <row r="614" s="63" customFormat="1" ht="15"/>
    <row r="615" s="63" customFormat="1" ht="15"/>
    <row r="616" s="63" customFormat="1" ht="15"/>
    <row r="617" s="63" customFormat="1" ht="15"/>
    <row r="618" s="63" customFormat="1" ht="15"/>
    <row r="619" s="63" customFormat="1" ht="15"/>
    <row r="620" s="63" customFormat="1" ht="15"/>
    <row r="621" s="63" customFormat="1" ht="15"/>
    <row r="622" s="63" customFormat="1" ht="15"/>
    <row r="623" s="63" customFormat="1" ht="15"/>
    <row r="624" s="63" customFormat="1" ht="15"/>
    <row r="625" s="63" customFormat="1" ht="15"/>
    <row r="626" s="63" customFormat="1" ht="15"/>
    <row r="627" s="63" customFormat="1" ht="15"/>
    <row r="628" s="63" customFormat="1" ht="15"/>
    <row r="629" s="63" customFormat="1" ht="15"/>
    <row r="630" s="63" customFormat="1" ht="15"/>
    <row r="631" s="63" customFormat="1" ht="15"/>
    <row r="632" s="63" customFormat="1" ht="15"/>
  </sheetData>
  <mergeCells count="8">
    <mergeCell ref="A3:I3"/>
    <mergeCell ref="A30:I30"/>
    <mergeCell ref="A122:I122"/>
    <mergeCell ref="A143:I143"/>
    <mergeCell ref="A167:I167"/>
    <mergeCell ref="A54:I54"/>
    <mergeCell ref="A76:I76"/>
    <mergeCell ref="A98:I98"/>
  </mergeCells>
  <printOptions/>
  <pageMargins left="0.23" right="0.24" top="0.51" bottom="0.34" header="0.22" footer="0.18"/>
  <pageSetup horizontalDpi="600" verticalDpi="600" orientation="portrait" paperSize="9" scale="47" r:id="rId2"/>
  <rowBreaks count="2" manualBreakCount="2">
    <brk id="73" max="255" man="1"/>
    <brk id="13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Massimiliano Menzietti</dc:creator>
  <cp:keywords/>
  <dc:description/>
  <cp:lastModifiedBy>Cerchiara</cp:lastModifiedBy>
  <cp:lastPrinted>2007-10-22T20:07:59Z</cp:lastPrinted>
  <dcterms:created xsi:type="dcterms:W3CDTF">2001-10-31T00:45:18Z</dcterms:created>
  <dcterms:modified xsi:type="dcterms:W3CDTF">2007-10-24T17:18:43Z</dcterms:modified>
  <cp:category/>
  <cp:version/>
  <cp:contentType/>
  <cp:contentStatus/>
</cp:coreProperties>
</file>